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70\00-市販営業部\電材営業課\斉藤\2020年度\北島さんファイナンスコストしミューレション\"/>
    </mc:Choice>
  </mc:AlternateContent>
  <xr:revisionPtr revIDLastSave="0" documentId="13_ncr:1_{79627D42-E79E-48B6-8573-923A22AF1CAF}" xr6:coauthVersionLast="45" xr6:coauthVersionMax="45" xr10:uidLastSave="{00000000-0000-0000-0000-000000000000}"/>
  <bookViews>
    <workbookView xWindow="-120" yWindow="-120" windowWidth="19440" windowHeight="11640" xr2:uid="{7F3CADFC-9929-44EA-A32E-6677BBF74160}"/>
  </bookViews>
  <sheets>
    <sheet name="入力シート" sheetId="2" r:id="rId1"/>
    <sheet name="印刷用_片面チラシ向け" sheetId="7" r:id="rId2"/>
    <sheet name="印刷用_両面チラシ向け" sheetId="1" r:id="rId3"/>
    <sheet name="印刷用_両面チラシ向け裏面" sheetId="4" r:id="rId4"/>
    <sheet name="データ" sheetId="3" state="hidden" r:id="rId5"/>
    <sheet name="表示調整" sheetId="6" state="hidden" r:id="rId6"/>
  </sheets>
  <definedNames>
    <definedName name="_xlnm.Print_Area" localSheetId="1">印刷用_片面チラシ向け!$A$1:$O$61</definedName>
    <definedName name="_xlnm.Print_Area" localSheetId="2">印刷用_両面チラシ向け!$A$1:$P$61</definedName>
    <definedName name="_xlnm.Print_Area" localSheetId="3">印刷用_両面チラシ向け裏面!$A$1:$J$41</definedName>
    <definedName name="一括">OFFSET(データ!$O$5:$AC$5,0,0,1,COUNT(データ!$O$5:$AC$5))</definedName>
    <definedName name="既存">OFFSET(データ!$O$4:$AC$4,0,0,1,COUNT(データ!$O$4:$AC$4))</definedName>
    <definedName name="提案">OFFSET(データ!$O$6:$AC$6,0,0,1,COUNT(データ!$O$6:$AC$6))</definedName>
    <definedName name="年数">OFFSET(データ!$O$3:$AC$3,0,0,1,COUNT(データ!$O$3:$AC$3))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" i="3" l="1"/>
  <c r="D4" i="6"/>
  <c r="R11" i="3"/>
  <c r="T11" i="3" s="1"/>
  <c r="AN52" i="6" l="1"/>
  <c r="AP52" i="6"/>
  <c r="AH43" i="6"/>
  <c r="AI42" i="6"/>
  <c r="AH42" i="6"/>
  <c r="AI41" i="6"/>
  <c r="AH41" i="6"/>
  <c r="M11" i="3"/>
  <c r="M13" i="3"/>
  <c r="N13" i="3" s="1"/>
  <c r="O13" i="3" s="1"/>
  <c r="P13" i="3" s="1"/>
  <c r="M12" i="3"/>
  <c r="N12" i="3" s="1"/>
  <c r="O12" i="3" s="1"/>
  <c r="AD39" i="6" l="1"/>
  <c r="Z39" i="6"/>
  <c r="D10" i="6" l="1"/>
  <c r="R4" i="6" l="1"/>
  <c r="L13" i="3"/>
  <c r="H27" i="6"/>
  <c r="H28" i="6"/>
  <c r="H29" i="6"/>
  <c r="F27" i="6"/>
  <c r="AI45" i="6" s="1"/>
  <c r="F28" i="6"/>
  <c r="F29" i="6"/>
  <c r="O28" i="6" l="1"/>
  <c r="AJ43" i="6"/>
  <c r="S13" i="3"/>
  <c r="Q13" i="3"/>
  <c r="R13" i="3" s="1"/>
  <c r="N28" i="6"/>
  <c r="AI43" i="6"/>
  <c r="G5" i="3"/>
  <c r="G6" i="3"/>
  <c r="G7" i="3"/>
  <c r="G8" i="3"/>
  <c r="G4" i="3"/>
  <c r="J29" i="6"/>
  <c r="J27" i="6"/>
  <c r="AJ44" i="6"/>
  <c r="AJ45" i="6"/>
  <c r="AI44" i="6"/>
  <c r="T13" i="3" l="1"/>
  <c r="Z12" i="3"/>
  <c r="Z13" i="3"/>
  <c r="Z11" i="3"/>
  <c r="U11" i="3"/>
  <c r="N11" i="3"/>
  <c r="O11" i="3" s="1"/>
  <c r="Z14" i="3" l="1"/>
  <c r="C7" i="2" s="1"/>
  <c r="C10" i="2" s="1"/>
  <c r="L8" i="3" l="1"/>
  <c r="M8" i="3" s="1"/>
  <c r="L12" i="3"/>
  <c r="L11" i="3"/>
  <c r="V12" i="3"/>
  <c r="V13" i="3"/>
  <c r="V11" i="3"/>
  <c r="U12" i="3"/>
  <c r="I15" i="2" s="1"/>
  <c r="G28" i="6" s="1"/>
  <c r="U13" i="3"/>
  <c r="I16" i="2" s="1"/>
  <c r="G29" i="6" s="1"/>
  <c r="I14" i="2"/>
  <c r="G27" i="6" s="1"/>
  <c r="P12" i="3"/>
  <c r="P11" i="3"/>
  <c r="J16" i="2"/>
  <c r="J15" i="2"/>
  <c r="J14" i="2"/>
  <c r="Q23" i="3" l="1"/>
  <c r="H6" i="3"/>
  <c r="H4" i="3"/>
  <c r="Q12" i="3"/>
  <c r="R12" i="3" s="1"/>
  <c r="S12" i="3"/>
  <c r="S11" i="3"/>
  <c r="Q11" i="3"/>
  <c r="F11" i="2"/>
  <c r="D7" i="6"/>
  <c r="H5" i="3"/>
  <c r="H8" i="3"/>
  <c r="H7" i="3"/>
  <c r="W11" i="3"/>
  <c r="X11" i="3" s="1"/>
  <c r="Y11" i="3" s="1"/>
  <c r="P14" i="3"/>
  <c r="O14" i="3"/>
  <c r="I17" i="2" s="1"/>
  <c r="W13" i="3"/>
  <c r="X13" i="3" s="1"/>
  <c r="Y13" i="3" s="1"/>
  <c r="W12" i="3"/>
  <c r="X12" i="3" s="1"/>
  <c r="Y12" i="3" s="1"/>
  <c r="T12" i="3" l="1"/>
  <c r="L21" i="3"/>
  <c r="P21" i="3" s="1"/>
  <c r="P16" i="3"/>
  <c r="Y14" i="3"/>
  <c r="X14" i="3"/>
  <c r="I18" i="2" s="1"/>
  <c r="T16" i="3" l="1"/>
  <c r="L22" i="3" s="1"/>
  <c r="P22" i="3" s="1"/>
  <c r="R22" i="3" s="1"/>
  <c r="D21" i="6" s="1"/>
  <c r="Z16" i="3"/>
  <c r="U16" i="3" s="1"/>
  <c r="M21" i="3"/>
  <c r="D13" i="6"/>
  <c r="D19" i="6" s="1"/>
  <c r="J17" i="2"/>
  <c r="I19" i="2"/>
  <c r="J18" i="2"/>
  <c r="F8" i="2"/>
  <c r="R21" i="3" l="1"/>
  <c r="R24" i="3" s="1"/>
  <c r="Q21" i="3"/>
  <c r="Q24" i="3" s="1"/>
  <c r="D15" i="6"/>
  <c r="J21" i="6" s="1"/>
  <c r="D23" i="6" s="1"/>
  <c r="F16" i="6" s="1"/>
  <c r="I21" i="2"/>
  <c r="I22" i="2" s="1"/>
  <c r="I20" i="2"/>
  <c r="J19" i="2"/>
  <c r="J7" i="6"/>
  <c r="B6" i="3"/>
  <c r="F9" i="2"/>
  <c r="D17" i="6" l="1"/>
  <c r="J20" i="2"/>
  <c r="F13" i="6"/>
  <c r="C11" i="2" s="1"/>
</calcChain>
</file>

<file path=xl/sharedStrings.xml><?xml version="1.0" encoding="utf-8"?>
<sst xmlns="http://schemas.openxmlformats.org/spreadsheetml/2006/main" count="172" uniqueCount="127">
  <si>
    <t>契約年数</t>
    <rPh sb="0" eb="2">
      <t>ケイヤク</t>
    </rPh>
    <rPh sb="2" eb="4">
      <t>ネンスウ</t>
    </rPh>
    <phoneticPr fontId="2"/>
  </si>
  <si>
    <t>数値入力</t>
    <rPh sb="0" eb="2">
      <t>スウチ</t>
    </rPh>
    <rPh sb="2" eb="4">
      <t>ニュウリョク</t>
    </rPh>
    <phoneticPr fontId="2"/>
  </si>
  <si>
    <t>削減額</t>
    <rPh sb="0" eb="2">
      <t>サクゲン</t>
    </rPh>
    <rPh sb="2" eb="3">
      <t>ガク</t>
    </rPh>
    <phoneticPr fontId="2"/>
  </si>
  <si>
    <t>リスト選択</t>
    <rPh sb="3" eb="5">
      <t>センタク</t>
    </rPh>
    <phoneticPr fontId="2"/>
  </si>
  <si>
    <t>電気代</t>
    <rPh sb="0" eb="3">
      <t>デンキダイ</t>
    </rPh>
    <phoneticPr fontId="2"/>
  </si>
  <si>
    <t>既設</t>
    <rPh sb="0" eb="2">
      <t>キセツ</t>
    </rPh>
    <phoneticPr fontId="2"/>
  </si>
  <si>
    <t>更新後</t>
    <rPh sb="0" eb="2">
      <t>コウシン</t>
    </rPh>
    <rPh sb="2" eb="3">
      <t>ゴ</t>
    </rPh>
    <phoneticPr fontId="2"/>
  </si>
  <si>
    <t>月額</t>
    <rPh sb="0" eb="2">
      <t>ゲツガク</t>
    </rPh>
    <phoneticPr fontId="2"/>
  </si>
  <si>
    <t>契約内容</t>
    <rPh sb="0" eb="2">
      <t>ケイヤク</t>
    </rPh>
    <rPh sb="2" eb="4">
      <t>ナイヨウ</t>
    </rPh>
    <phoneticPr fontId="2"/>
  </si>
  <si>
    <t>投資回収年数</t>
    <rPh sb="0" eb="2">
      <t>トウシ</t>
    </rPh>
    <rPh sb="2" eb="4">
      <t>カイシュウ</t>
    </rPh>
    <rPh sb="4" eb="6">
      <t>ネンスウ</t>
    </rPh>
    <phoneticPr fontId="2"/>
  </si>
  <si>
    <t>削減金額グラフ</t>
    <rPh sb="0" eb="2">
      <t>サクゲン</t>
    </rPh>
    <rPh sb="2" eb="4">
      <t>キンガク</t>
    </rPh>
    <phoneticPr fontId="2"/>
  </si>
  <si>
    <t>器具総額（円）</t>
    <rPh sb="0" eb="2">
      <t>キグ</t>
    </rPh>
    <rPh sb="2" eb="4">
      <t>ソウガク</t>
    </rPh>
    <rPh sb="5" eb="6">
      <t>エン</t>
    </rPh>
    <phoneticPr fontId="2"/>
  </si>
  <si>
    <t>工事費（円）</t>
    <rPh sb="0" eb="3">
      <t>コウジヒ</t>
    </rPh>
    <phoneticPr fontId="2"/>
  </si>
  <si>
    <t>①お客様名称入力</t>
    <rPh sb="2" eb="4">
      <t>キャクサマ</t>
    </rPh>
    <rPh sb="4" eb="6">
      <t>メイショウ</t>
    </rPh>
    <rPh sb="6" eb="8">
      <t>ニュウリョク</t>
    </rPh>
    <phoneticPr fontId="2"/>
  </si>
  <si>
    <t>ファイナンス提案入力部分</t>
    <rPh sb="6" eb="8">
      <t>テイアン</t>
    </rPh>
    <rPh sb="8" eb="10">
      <t>ニュウリョク</t>
    </rPh>
    <rPh sb="10" eb="12">
      <t>ブブン</t>
    </rPh>
    <phoneticPr fontId="2"/>
  </si>
  <si>
    <t>FLR40W×1灯</t>
    <rPh sb="8" eb="9">
      <t>トモシビ</t>
    </rPh>
    <phoneticPr fontId="2"/>
  </si>
  <si>
    <t>FHF32W×1灯</t>
    <rPh sb="8" eb="9">
      <t>トモシビ</t>
    </rPh>
    <phoneticPr fontId="2"/>
  </si>
  <si>
    <t>FLR110W×1灯</t>
    <rPh sb="9" eb="10">
      <t>トモシビ</t>
    </rPh>
    <phoneticPr fontId="2"/>
  </si>
  <si>
    <t>FHF86W×1灯</t>
    <rPh sb="8" eb="9">
      <t>トモシビ</t>
    </rPh>
    <phoneticPr fontId="2"/>
  </si>
  <si>
    <t>水銀灯（HF700W）</t>
    <rPh sb="0" eb="3">
      <t>スイギントウ</t>
    </rPh>
    <phoneticPr fontId="2"/>
  </si>
  <si>
    <t>水銀灯（HF400W）</t>
    <rPh sb="0" eb="3">
      <t>スイギントウ</t>
    </rPh>
    <phoneticPr fontId="2"/>
  </si>
  <si>
    <t>水銀灯（HF250W）</t>
    <rPh sb="0" eb="3">
      <t>スイギントウ</t>
    </rPh>
    <phoneticPr fontId="2"/>
  </si>
  <si>
    <t>FL20W×1灯</t>
    <rPh sb="7" eb="8">
      <t>トモシビ</t>
    </rPh>
    <phoneticPr fontId="2"/>
  </si>
  <si>
    <t>FHF16W×1灯</t>
    <rPh sb="8" eb="9">
      <t>トモシビ</t>
    </rPh>
    <phoneticPr fontId="2"/>
  </si>
  <si>
    <t>FL20W×2灯</t>
    <rPh sb="7" eb="8">
      <t>トモシビ</t>
    </rPh>
    <phoneticPr fontId="2"/>
  </si>
  <si>
    <t>FHF16W×2灯</t>
    <rPh sb="8" eb="9">
      <t>トモシビ</t>
    </rPh>
    <phoneticPr fontId="2"/>
  </si>
  <si>
    <t>FLR40W×2灯</t>
    <rPh sb="8" eb="9">
      <t>トモシビ</t>
    </rPh>
    <phoneticPr fontId="2"/>
  </si>
  <si>
    <t>FHF32W×2灯</t>
    <rPh sb="8" eb="9">
      <t>トモシビ</t>
    </rPh>
    <phoneticPr fontId="2"/>
  </si>
  <si>
    <t>FLR110W×2灯</t>
    <rPh sb="9" eb="10">
      <t>トモシビ</t>
    </rPh>
    <phoneticPr fontId="2"/>
  </si>
  <si>
    <t>FHF86W×2灯</t>
    <rPh sb="8" eb="9">
      <t>トモシビ</t>
    </rPh>
    <phoneticPr fontId="2"/>
  </si>
  <si>
    <t>100V時</t>
    <rPh sb="4" eb="5">
      <t>ジ</t>
    </rPh>
    <phoneticPr fontId="2"/>
  </si>
  <si>
    <t>料率</t>
    <rPh sb="0" eb="1">
      <t>リョウ</t>
    </rPh>
    <rPh sb="1" eb="2">
      <t>リツ</t>
    </rPh>
    <phoneticPr fontId="2"/>
  </si>
  <si>
    <t>契約形態・年数</t>
    <rPh sb="0" eb="2">
      <t>ケイヤク</t>
    </rPh>
    <rPh sb="2" eb="4">
      <t>ケイタイ</t>
    </rPh>
    <rPh sb="5" eb="7">
      <t>ネンスウ</t>
    </rPh>
    <phoneticPr fontId="2"/>
  </si>
  <si>
    <t>代替機種</t>
    <rPh sb="0" eb="2">
      <t>ダイタイ</t>
    </rPh>
    <rPh sb="2" eb="4">
      <t>キシュ</t>
    </rPh>
    <phoneticPr fontId="2"/>
  </si>
  <si>
    <t>100 V時消費電力</t>
    <rPh sb="5" eb="6">
      <t>ジ</t>
    </rPh>
    <rPh sb="6" eb="8">
      <t>ショウヒ</t>
    </rPh>
    <rPh sb="8" eb="10">
      <t>デンリョク</t>
    </rPh>
    <phoneticPr fontId="2"/>
  </si>
  <si>
    <t>台数</t>
    <rPh sb="0" eb="2">
      <t>ダイスウ</t>
    </rPh>
    <phoneticPr fontId="2"/>
  </si>
  <si>
    <t>機種①</t>
    <rPh sb="0" eb="2">
      <t>キシュ</t>
    </rPh>
    <phoneticPr fontId="2"/>
  </si>
  <si>
    <t>機種②</t>
    <rPh sb="0" eb="2">
      <t>キシュ</t>
    </rPh>
    <phoneticPr fontId="2"/>
  </si>
  <si>
    <t>機種③</t>
    <rPh sb="0" eb="2">
      <t>キシュ</t>
    </rPh>
    <phoneticPr fontId="2"/>
  </si>
  <si>
    <t>削減量</t>
    <rPh sb="0" eb="2">
      <t>サクゲン</t>
    </rPh>
    <rPh sb="2" eb="3">
      <t>リョウ</t>
    </rPh>
    <phoneticPr fontId="2"/>
  </si>
  <si>
    <t>更新</t>
    <rPh sb="0" eb="2">
      <t>コウシン</t>
    </rPh>
    <phoneticPr fontId="2"/>
  </si>
  <si>
    <t>電力料単価（kWh/円）</t>
    <rPh sb="0" eb="2">
      <t>デンリョク</t>
    </rPh>
    <rPh sb="2" eb="3">
      <t>リョウ</t>
    </rPh>
    <rPh sb="3" eb="5">
      <t>タンカ</t>
    </rPh>
    <rPh sb="10" eb="11">
      <t>エン</t>
    </rPh>
    <phoneticPr fontId="2"/>
  </si>
  <si>
    <t>年間点灯時間（h）</t>
    <rPh sb="0" eb="2">
      <t>ネンカン</t>
    </rPh>
    <rPh sb="2" eb="4">
      <t>テントウ</t>
    </rPh>
    <rPh sb="4" eb="6">
      <t>ジカン</t>
    </rPh>
    <phoneticPr fontId="2"/>
  </si>
  <si>
    <t>削減</t>
    <rPh sb="0" eb="2">
      <t>サクゲン</t>
    </rPh>
    <phoneticPr fontId="2"/>
  </si>
  <si>
    <t>総額</t>
    <rPh sb="0" eb="2">
      <t>ソウガク</t>
    </rPh>
    <phoneticPr fontId="2"/>
  </si>
  <si>
    <t>削減電力（年間）</t>
    <rPh sb="0" eb="2">
      <t>サクゲン</t>
    </rPh>
    <rPh sb="2" eb="4">
      <t>デンリョク</t>
    </rPh>
    <rPh sb="5" eb="7">
      <t>ネンカン</t>
    </rPh>
    <phoneticPr fontId="2"/>
  </si>
  <si>
    <t>削減電力（月間）</t>
    <rPh sb="0" eb="2">
      <t>サクゲン</t>
    </rPh>
    <rPh sb="2" eb="4">
      <t>デンリョク</t>
    </rPh>
    <rPh sb="5" eb="7">
      <t>ゲッカン</t>
    </rPh>
    <phoneticPr fontId="2"/>
  </si>
  <si>
    <t>料率テーブル</t>
    <rPh sb="0" eb="2">
      <t>リョウリツ</t>
    </rPh>
    <phoneticPr fontId="2"/>
  </si>
  <si>
    <t>機種テーブル</t>
    <rPh sb="0" eb="2">
      <t>キシュ</t>
    </rPh>
    <phoneticPr fontId="2"/>
  </si>
  <si>
    <t>損益試算表</t>
    <rPh sb="0" eb="2">
      <t>ソンエキ</t>
    </rPh>
    <rPh sb="2" eb="5">
      <t>シサンヒョウ</t>
    </rPh>
    <phoneticPr fontId="2"/>
  </si>
  <si>
    <t>ｸﾞﾗﾌﾃﾞｰﾀ</t>
    <phoneticPr fontId="2"/>
  </si>
  <si>
    <t>コスト削減</t>
    <rPh sb="3" eb="5">
      <t>サクゲン</t>
    </rPh>
    <phoneticPr fontId="2"/>
  </si>
  <si>
    <t>削減コスト</t>
    <rPh sb="0" eb="2">
      <t>サクゲン</t>
    </rPh>
    <phoneticPr fontId="2"/>
  </si>
  <si>
    <t>寿命</t>
    <rPh sb="0" eb="2">
      <t>ジュミョウ</t>
    </rPh>
    <phoneticPr fontId="2"/>
  </si>
  <si>
    <t>コスト</t>
    <phoneticPr fontId="2"/>
  </si>
  <si>
    <t>既設ﾗﾝﾌﾟ</t>
    <rPh sb="0" eb="2">
      <t>キセツ</t>
    </rPh>
    <phoneticPr fontId="2"/>
  </si>
  <si>
    <t>ﾗﾝﾌﾟﾒﾝﾃｺｽﾄ削減額（年間）</t>
    <rPh sb="10" eb="12">
      <t>サクゲン</t>
    </rPh>
    <rPh sb="12" eb="13">
      <t>ガク</t>
    </rPh>
    <rPh sb="14" eb="16">
      <t>ネンカン</t>
    </rPh>
    <phoneticPr fontId="2"/>
  </si>
  <si>
    <t>ﾗﾝﾌﾟﾒﾝﾃｺｽﾄ削減額（月間）</t>
    <rPh sb="10" eb="12">
      <t>サクゲン</t>
    </rPh>
    <rPh sb="12" eb="13">
      <t>ガク</t>
    </rPh>
    <rPh sb="15" eb="16">
      <t>）</t>
    </rPh>
    <phoneticPr fontId="2"/>
  </si>
  <si>
    <t>ﾗﾝﾌﾟ</t>
    <phoneticPr fontId="2"/>
  </si>
  <si>
    <t>既設消費電力計(kWh)</t>
    <rPh sb="0" eb="2">
      <t>キセツ</t>
    </rPh>
    <rPh sb="2" eb="4">
      <t>ショウヒ</t>
    </rPh>
    <rPh sb="4" eb="6">
      <t>デンリョク</t>
    </rPh>
    <rPh sb="6" eb="7">
      <t>ケイ</t>
    </rPh>
    <phoneticPr fontId="2"/>
  </si>
  <si>
    <t>代替機種消費電力計(kWh)</t>
    <rPh sb="0" eb="2">
      <t>ダイタイ</t>
    </rPh>
    <rPh sb="2" eb="4">
      <t>キシュ</t>
    </rPh>
    <rPh sb="4" eb="6">
      <t>ショウヒ</t>
    </rPh>
    <rPh sb="6" eb="8">
      <t>デンリョク</t>
    </rPh>
    <rPh sb="8" eb="9">
      <t>ケイ</t>
    </rPh>
    <phoneticPr fontId="2"/>
  </si>
  <si>
    <t>削減額</t>
    <phoneticPr fontId="2"/>
  </si>
  <si>
    <t>年額</t>
    <rPh sb="0" eb="2">
      <t>ネンガク</t>
    </rPh>
    <phoneticPr fontId="2"/>
  </si>
  <si>
    <t>月額料金</t>
    <rPh sb="0" eb="2">
      <t>ゲツガク</t>
    </rPh>
    <rPh sb="2" eb="4">
      <t>リョウキン</t>
    </rPh>
    <phoneticPr fontId="2"/>
  </si>
  <si>
    <t>電気代月額</t>
    <rPh sb="0" eb="3">
      <t>デンキダイ</t>
    </rPh>
    <rPh sb="3" eb="5">
      <t>ゲツガク</t>
    </rPh>
    <phoneticPr fontId="2"/>
  </si>
  <si>
    <t>既設電気代</t>
    <rPh sb="0" eb="2">
      <t>キセツ</t>
    </rPh>
    <rPh sb="2" eb="4">
      <t>デンキ</t>
    </rPh>
    <rPh sb="4" eb="5">
      <t>ダイ</t>
    </rPh>
    <phoneticPr fontId="2"/>
  </si>
  <si>
    <t>更新電気代</t>
    <rPh sb="0" eb="2">
      <t>コウシン</t>
    </rPh>
    <rPh sb="2" eb="5">
      <t>デンキダイ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</si>
  <si>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</si>
  <si>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</si>
  <si>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削減合計</t>
    <rPh sb="0" eb="2">
      <t>サクゲン</t>
    </rPh>
    <rPh sb="2" eb="4">
      <t>ゴウケイ</t>
    </rPh>
    <phoneticPr fontId="2"/>
  </si>
  <si>
    <t>定価</t>
    <rPh sb="0" eb="2">
      <t>テイカ</t>
    </rPh>
    <phoneticPr fontId="2"/>
  </si>
  <si>
    <t>更新定価</t>
    <rPh sb="0" eb="2">
      <t>コウシン</t>
    </rPh>
    <rPh sb="2" eb="4">
      <t>テイカ</t>
    </rPh>
    <phoneticPr fontId="2"/>
  </si>
  <si>
    <t>掛率</t>
    <rPh sb="0" eb="2">
      <t>カケリツ</t>
    </rPh>
    <phoneticPr fontId="2"/>
  </si>
  <si>
    <t>実総額</t>
    <rPh sb="0" eb="1">
      <t>ジツ</t>
    </rPh>
    <rPh sb="1" eb="3">
      <t>ソウガク</t>
    </rPh>
    <phoneticPr fontId="2"/>
  </si>
  <si>
    <t>既設器具</t>
    <rPh sb="0" eb="2">
      <t>キセツ</t>
    </rPh>
    <rPh sb="2" eb="4">
      <t>キグ</t>
    </rPh>
    <phoneticPr fontId="2"/>
  </si>
  <si>
    <t>器具①</t>
    <rPh sb="0" eb="2">
      <t>キグ</t>
    </rPh>
    <phoneticPr fontId="2"/>
  </si>
  <si>
    <t>器具②</t>
    <rPh sb="0" eb="2">
      <t>キグ</t>
    </rPh>
    <phoneticPr fontId="2"/>
  </si>
  <si>
    <t>器具③</t>
    <rPh sb="0" eb="2">
      <t>キグ</t>
    </rPh>
    <phoneticPr fontId="2"/>
  </si>
  <si>
    <t>年間点灯時間</t>
    <rPh sb="0" eb="2">
      <t>ネンカン</t>
    </rPh>
    <rPh sb="2" eb="4">
      <t>テントウ</t>
    </rPh>
    <rPh sb="4" eb="6">
      <t>ジカン</t>
    </rPh>
    <phoneticPr fontId="2"/>
  </si>
  <si>
    <t>時間</t>
    <rPh sb="0" eb="2">
      <t>ジカン</t>
    </rPh>
    <phoneticPr fontId="2"/>
  </si>
  <si>
    <t>電力料単価</t>
    <rPh sb="0" eb="2">
      <t>デンリョク</t>
    </rPh>
    <rPh sb="2" eb="3">
      <t>リョウ</t>
    </rPh>
    <rPh sb="3" eb="5">
      <t>タンカ</t>
    </rPh>
    <phoneticPr fontId="2"/>
  </si>
  <si>
    <t>\/kWh</t>
    <phoneticPr fontId="2"/>
  </si>
  <si>
    <t>ランプメンテ</t>
    <phoneticPr fontId="2"/>
  </si>
  <si>
    <t>（ランプ交換費用月額</t>
    <phoneticPr fontId="2"/>
  </si>
  <si>
    <t>含む）</t>
    <rPh sb="0" eb="1">
      <t>フク</t>
    </rPh>
    <phoneticPr fontId="2"/>
  </si>
  <si>
    <t>リース差額</t>
    <rPh sb="3" eb="5">
      <t>サガク</t>
    </rPh>
    <phoneticPr fontId="2"/>
  </si>
  <si>
    <t>EL-GT10113N/W AHTN</t>
  </si>
  <si>
    <t>EL-GT15113N/W AHTN</t>
  </si>
  <si>
    <t>EL-GT30112N/W 2AHTN</t>
  </si>
  <si>
    <t>ﾒﾀﾊﾗ250W（MF250)</t>
  </si>
  <si>
    <t>ﾒﾀﾊﾗ400W（MF400)</t>
  </si>
  <si>
    <t>EL-GT20113N/W AHTN</t>
  </si>
  <si>
    <t>ﾗﾝﾌﾟ寿命</t>
    <rPh sb="4" eb="6">
      <t>ジュミョウ</t>
    </rPh>
    <phoneticPr fontId="2"/>
  </si>
  <si>
    <t>〇〇〇〇〇〇〇〇〇〇〇〇株式会社</t>
    <rPh sb="12" eb="16">
      <t>カブシキガイシャ</t>
    </rPh>
    <phoneticPr fontId="2"/>
  </si>
  <si>
    <t>レンタル 4年</t>
    <rPh sb="6" eb="7">
      <t>ネン</t>
    </rPh>
    <phoneticPr fontId="2"/>
  </si>
  <si>
    <t>レンタル 5年</t>
    <rPh sb="6" eb="7">
      <t>ネン</t>
    </rPh>
    <phoneticPr fontId="2"/>
  </si>
  <si>
    <t>レンタル 6年</t>
    <rPh sb="6" eb="7">
      <t>ネン</t>
    </rPh>
    <phoneticPr fontId="2"/>
  </si>
  <si>
    <t>レンタル 7年</t>
    <rPh sb="6" eb="7">
      <t>ネン</t>
    </rPh>
    <phoneticPr fontId="2"/>
  </si>
  <si>
    <t>リース 9年</t>
    <rPh sb="5" eb="6">
      <t>ネン</t>
    </rPh>
    <phoneticPr fontId="2"/>
  </si>
  <si>
    <t>既設ﾗﾝﾌﾟｺｽﾄ</t>
    <rPh sb="0" eb="2">
      <t>キセツ</t>
    </rPh>
    <phoneticPr fontId="2"/>
  </si>
  <si>
    <t>LED器具</t>
    <rPh sb="3" eb="5">
      <t>キグ</t>
    </rPh>
    <phoneticPr fontId="2"/>
  </si>
  <si>
    <t>ランプ交換費</t>
    <rPh sb="3" eb="5">
      <t>コウカン</t>
    </rPh>
    <rPh sb="5" eb="6">
      <t>ヒ</t>
    </rPh>
    <phoneticPr fontId="2"/>
  </si>
  <si>
    <t>月額削減分</t>
    <rPh sb="0" eb="2">
      <t>ゲツガク</t>
    </rPh>
    <rPh sb="2" eb="4">
      <t>サクゲン</t>
    </rPh>
    <rPh sb="4" eb="5">
      <t>ブン</t>
    </rPh>
    <phoneticPr fontId="2"/>
  </si>
  <si>
    <t>↓プル選択</t>
    <rPh sb="3" eb="5">
      <t>センタク</t>
    </rPh>
    <phoneticPr fontId="2"/>
  </si>
  <si>
    <t>②作成年月</t>
    <rPh sb="1" eb="3">
      <t>サクセイ</t>
    </rPh>
    <rPh sb="3" eb="5">
      <t>ネンゲツ</t>
    </rPh>
    <phoneticPr fontId="2"/>
  </si>
  <si>
    <t>-</t>
    <phoneticPr fontId="2"/>
  </si>
  <si>
    <t>③物件金額入力</t>
    <rPh sb="1" eb="3">
      <t>ブッケン</t>
    </rPh>
    <rPh sb="3" eb="5">
      <t>キンガク</t>
    </rPh>
    <rPh sb="5" eb="7">
      <t>ニュウリョク</t>
    </rPh>
    <phoneticPr fontId="2"/>
  </si>
  <si>
    <t>④ファイナンス提案内容入力</t>
    <rPh sb="7" eb="9">
      <t>テイアン</t>
    </rPh>
    <rPh sb="9" eb="11">
      <t>ナイヨウ</t>
    </rPh>
    <rPh sb="11" eb="13">
      <t>ニュウリョク</t>
    </rPh>
    <phoneticPr fontId="2"/>
  </si>
  <si>
    <t>⑤省エネ計算入力</t>
    <rPh sb="1" eb="2">
      <t>ショウ</t>
    </rPh>
    <rPh sb="4" eb="6">
      <t>ケイサン</t>
    </rPh>
    <rPh sb="6" eb="8">
      <t>ニュウリョク</t>
    </rPh>
    <phoneticPr fontId="2"/>
  </si>
  <si>
    <t>既設照明器具1</t>
    <rPh sb="0" eb="2">
      <t>キセツ</t>
    </rPh>
    <rPh sb="2" eb="4">
      <t>ショウメイ</t>
    </rPh>
    <rPh sb="4" eb="6">
      <t>キグ</t>
    </rPh>
    <phoneticPr fontId="2"/>
  </si>
  <si>
    <t>既設照明器具２</t>
    <rPh sb="0" eb="2">
      <t>キセツ</t>
    </rPh>
    <rPh sb="2" eb="4">
      <t>ショウメイ</t>
    </rPh>
    <rPh sb="4" eb="6">
      <t>キグ</t>
    </rPh>
    <phoneticPr fontId="2"/>
  </si>
  <si>
    <t>既設照明器具３</t>
    <rPh sb="0" eb="2">
      <t>キセツ</t>
    </rPh>
    <rPh sb="2" eb="4">
      <t>ショウメイ</t>
    </rPh>
    <rPh sb="4" eb="6">
      <t>キグ</t>
    </rPh>
    <phoneticPr fontId="2"/>
  </si>
  <si>
    <t>代替LED器具１</t>
    <rPh sb="0" eb="2">
      <t>ダイタイ</t>
    </rPh>
    <rPh sb="5" eb="7">
      <t>キグ</t>
    </rPh>
    <phoneticPr fontId="2"/>
  </si>
  <si>
    <t>代替LED器具２</t>
    <rPh sb="0" eb="2">
      <t>ダイタイ</t>
    </rPh>
    <rPh sb="5" eb="7">
      <t>キグ</t>
    </rPh>
    <phoneticPr fontId="2"/>
  </si>
  <si>
    <t>代替LED器具３</t>
    <rPh sb="0" eb="2">
      <t>ダイタイ</t>
    </rPh>
    <rPh sb="5" eb="7">
      <t>キグ</t>
    </rPh>
    <phoneticPr fontId="2"/>
  </si>
  <si>
    <t>①～⑤　着色部分を入力してください</t>
    <rPh sb="4" eb="6">
      <t>チャクショク</t>
    </rPh>
    <rPh sb="6" eb="8">
      <t>ブブン</t>
    </rPh>
    <rPh sb="9" eb="11">
      <t>ニュウリョク</t>
    </rPh>
    <phoneticPr fontId="2"/>
  </si>
  <si>
    <t>MY-V420331N AHTN</t>
    <phoneticPr fontId="2"/>
  </si>
  <si>
    <t>MY-V440331N AHTN</t>
    <phoneticPr fontId="2"/>
  </si>
  <si>
    <t>MY-V425331N AHTN</t>
    <phoneticPr fontId="2"/>
  </si>
  <si>
    <t>MY-V450331N AHTN</t>
    <phoneticPr fontId="2"/>
  </si>
  <si>
    <t>MY-V950331N AHTN</t>
    <phoneticPr fontId="2"/>
  </si>
  <si>
    <t>MY-V910331N 2AHTN</t>
    <phoneticPr fontId="2"/>
  </si>
  <si>
    <t>MY-V965331N AHTN</t>
    <phoneticPr fontId="2"/>
  </si>
  <si>
    <t>MY-V914331N 2AHTN</t>
    <phoneticPr fontId="2"/>
  </si>
  <si>
    <t>MY-V208231N AHTN</t>
    <phoneticPr fontId="2"/>
  </si>
  <si>
    <t>MY-V215231N AHTN</t>
    <phoneticPr fontId="2"/>
  </si>
  <si>
    <t>MY-V230231N AHTN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</si>
</sst>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2" formatCode="_ &quot;¥&quot;* #,##0_ ;_ &quot;¥&quot;* \-#,##0_ ;_ &quot;¥&quot;* &quot;-&quot;_ ;_ @_ "/>
    <numFmt numFmtId="176" formatCode="#,##0&quot;年&quot;"/>
    <numFmt numFmtId="177" formatCode="#,##0&quot;円&quot;"/>
    <numFmt numFmtId="178" formatCode="#,##0.0&quot;年&quot;"/>
    <numFmt numFmtId="179" formatCode="0_ "/>
    <numFmt numFmtId="180" formatCode="#,##0.0;[Red]\-#,##0.0"/>
    <numFmt numFmtId="181" formatCode="0&quot;年&quot;&quot;目&quot;"/>
    <numFmt numFmtId="182" formatCode="0&quot;台&quot;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Wide Latin"/>
      <family val="1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HGS創英角ｺﾞｼｯｸUB"/>
      <family val="3"/>
      <charset val="128"/>
    </font>
    <font>
      <sz val="24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22"/>
      <color theme="4" tint="-0.249977111117893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2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4"/>
      <name val="HGP創英角ｺﾞｼｯｸUB"/>
      <family val="3"/>
      <charset val="128"/>
    </font>
    <font>
      <sz val="11"/>
      <name val="メイリオ"/>
      <family val="3"/>
      <charset val="128"/>
    </font>
    <font>
      <sz val="22"/>
      <name val="HGP創英角ｺﾞｼｯｸUB"/>
      <family val="3"/>
      <charset val="128"/>
    </font>
    <font>
      <b/>
      <sz val="26"/>
      <color theme="1"/>
      <name val="HGP創英角ｺﾞｼｯｸUB"/>
      <family val="3"/>
      <charset val="128"/>
    </font>
    <font>
      <sz val="10"/>
      <color theme="1"/>
      <name val="メイリオ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 tint="4.9989318521683403E-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2060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10" fontId="0" fillId="0" borderId="0" xfId="2" applyNumberFormat="1" applyFont="1">
      <alignment vertical="center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0" fontId="0" fillId="0" borderId="1" xfId="0" applyBorder="1">
      <alignment vertical="center"/>
    </xf>
    <xf numFmtId="10" fontId="0" fillId="0" borderId="1" xfId="2" applyNumberFormat="1" applyFont="1" applyBorder="1">
      <alignment vertical="center"/>
    </xf>
    <xf numFmtId="42" fontId="0" fillId="0" borderId="1" xfId="1" applyNumberFormat="1" applyFont="1" applyBorder="1">
      <alignment vertical="center"/>
    </xf>
    <xf numFmtId="38" fontId="0" fillId="0" borderId="1" xfId="1" applyFont="1" applyBorder="1">
      <alignment vertical="center"/>
    </xf>
    <xf numFmtId="0" fontId="0" fillId="0" borderId="0" xfId="0" applyBorder="1">
      <alignment vertical="center"/>
    </xf>
    <xf numFmtId="38" fontId="0" fillId="0" borderId="0" xfId="0" applyNumberFormat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11" fillId="0" borderId="0" xfId="0" applyNumberFormat="1" applyFont="1" applyBorder="1" applyAlignment="1">
      <alignment horizontal="center" vertical="center" shrinkToFit="1"/>
    </xf>
    <xf numFmtId="10" fontId="0" fillId="0" borderId="0" xfId="2" applyNumberFormat="1" applyFont="1" applyFill="1" applyBorder="1">
      <alignment vertical="center"/>
    </xf>
    <xf numFmtId="180" fontId="0" fillId="0" borderId="0" xfId="1" applyNumberFormat="1" applyFont="1" applyFill="1" applyBorder="1">
      <alignment vertical="center"/>
    </xf>
    <xf numFmtId="180" fontId="0" fillId="0" borderId="0" xfId="1" applyNumberFormat="1" applyFont="1">
      <alignment vertical="center"/>
    </xf>
    <xf numFmtId="0" fontId="0" fillId="0" borderId="1" xfId="0" applyBorder="1" applyAlignment="1">
      <alignment vertical="center"/>
    </xf>
    <xf numFmtId="38" fontId="0" fillId="0" borderId="1" xfId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10" fontId="0" fillId="0" borderId="0" xfId="2" applyNumberFormat="1" applyFont="1" applyBorder="1">
      <alignment vertical="center"/>
    </xf>
    <xf numFmtId="38" fontId="0" fillId="0" borderId="0" xfId="1" applyFont="1" applyBorder="1">
      <alignment vertical="center"/>
    </xf>
    <xf numFmtId="42" fontId="0" fillId="0" borderId="0" xfId="1" applyNumberFormat="1" applyFont="1" applyBorder="1">
      <alignment vertical="center"/>
    </xf>
    <xf numFmtId="0" fontId="0" fillId="0" borderId="4" xfId="0" applyFill="1" applyBorder="1">
      <alignment vertical="center"/>
    </xf>
    <xf numFmtId="38" fontId="0" fillId="0" borderId="4" xfId="1" applyFont="1" applyFill="1" applyBorder="1">
      <alignment vertical="center"/>
    </xf>
    <xf numFmtId="0" fontId="0" fillId="0" borderId="5" xfId="0" applyFill="1" applyBorder="1">
      <alignment vertical="center"/>
    </xf>
    <xf numFmtId="38" fontId="0" fillId="0" borderId="5" xfId="1" applyFont="1" applyFill="1" applyBorder="1">
      <alignment vertical="center"/>
    </xf>
    <xf numFmtId="181" fontId="0" fillId="0" borderId="0" xfId="0" applyNumberFormat="1">
      <alignment vertical="center"/>
    </xf>
    <xf numFmtId="38" fontId="0" fillId="0" borderId="1" xfId="0" applyNumberFormat="1" applyBorder="1">
      <alignment vertical="center"/>
    </xf>
    <xf numFmtId="180" fontId="0" fillId="0" borderId="1" xfId="1" applyNumberFormat="1" applyFont="1" applyBorder="1">
      <alignment vertical="center"/>
    </xf>
    <xf numFmtId="176" fontId="13" fillId="0" borderId="4" xfId="0" applyNumberFormat="1" applyFont="1" applyFill="1" applyBorder="1">
      <alignment vertical="center"/>
    </xf>
    <xf numFmtId="0" fontId="13" fillId="0" borderId="0" xfId="0" applyFont="1">
      <alignment vertical="center"/>
    </xf>
    <xf numFmtId="0" fontId="0" fillId="2" borderId="1" xfId="0" applyFill="1" applyBorder="1">
      <alignment vertical="center"/>
    </xf>
    <xf numFmtId="6" fontId="0" fillId="0" borderId="1" xfId="3" applyFont="1" applyBorder="1">
      <alignment vertical="center"/>
    </xf>
    <xf numFmtId="6" fontId="0" fillId="0" borderId="1" xfId="3" applyFont="1" applyFill="1" applyBorder="1">
      <alignment vertical="center"/>
    </xf>
    <xf numFmtId="176" fontId="0" fillId="0" borderId="1" xfId="0" applyNumberFormat="1" applyFill="1" applyBorder="1">
      <alignment vertical="center"/>
    </xf>
    <xf numFmtId="10" fontId="0" fillId="0" borderId="1" xfId="2" applyNumberFormat="1" applyFont="1" applyFill="1" applyBorder="1">
      <alignment vertical="center"/>
    </xf>
    <xf numFmtId="180" fontId="0" fillId="0" borderId="1" xfId="1" applyNumberFormat="1" applyFont="1" applyFill="1" applyBorder="1">
      <alignment vertical="center"/>
    </xf>
    <xf numFmtId="6" fontId="0" fillId="0" borderId="0" xfId="0" applyNumberFormat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vertical="center" shrinkToFit="1"/>
    </xf>
    <xf numFmtId="0" fontId="15" fillId="0" borderId="0" xfId="0" applyFont="1">
      <alignment vertical="center"/>
    </xf>
    <xf numFmtId="0" fontId="7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177" fontId="14" fillId="0" borderId="0" xfId="0" applyNumberFormat="1" applyFont="1" applyFill="1" applyBorder="1" applyAlignment="1">
      <alignment shrinkToFit="1"/>
    </xf>
    <xf numFmtId="9" fontId="12" fillId="0" borderId="0" xfId="2" applyFont="1" applyFill="1" applyBorder="1">
      <alignment vertical="center"/>
    </xf>
    <xf numFmtId="0" fontId="0" fillId="0" borderId="0" xfId="0" applyFill="1" applyBorder="1" applyAlignment="1"/>
    <xf numFmtId="178" fontId="6" fillId="0" borderId="0" xfId="0" applyNumberFormat="1" applyFont="1" applyFill="1" applyBorder="1" applyAlignment="1">
      <alignment vertical="center" shrinkToFit="1"/>
    </xf>
    <xf numFmtId="176" fontId="6" fillId="0" borderId="0" xfId="0" applyNumberFormat="1" applyFont="1" applyFill="1" applyBorder="1" applyAlignment="1">
      <alignment vertical="center" shrinkToFit="1"/>
    </xf>
    <xf numFmtId="0" fontId="0" fillId="0" borderId="0" xfId="0" applyFill="1" applyBorder="1" applyAlignment="1">
      <alignment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Fill="1" applyBorder="1" applyAlignment="1"/>
    <xf numFmtId="0" fontId="7" fillId="0" borderId="0" xfId="0" applyFont="1" applyFill="1" applyBorder="1" applyAlignment="1"/>
    <xf numFmtId="0" fontId="0" fillId="2" borderId="0" xfId="0" applyFill="1" applyAlignment="1"/>
    <xf numFmtId="38" fontId="0" fillId="2" borderId="0" xfId="0" applyNumberFormat="1" applyFill="1">
      <alignment vertical="center"/>
    </xf>
    <xf numFmtId="182" fontId="0" fillId="0" borderId="0" xfId="0" applyNumberFormat="1">
      <alignment vertical="center"/>
    </xf>
    <xf numFmtId="0" fontId="16" fillId="0" borderId="0" xfId="0" applyFont="1" applyAlignment="1">
      <alignment vertical="center" shrinkToFit="1"/>
    </xf>
    <xf numFmtId="38" fontId="18" fillId="0" borderId="0" xfId="0" applyNumberFormat="1" applyFont="1">
      <alignment vertical="center"/>
    </xf>
    <xf numFmtId="182" fontId="18" fillId="0" borderId="0" xfId="0" applyNumberFormat="1" applyFont="1">
      <alignment vertical="center"/>
    </xf>
    <xf numFmtId="0" fontId="17" fillId="0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20" fillId="2" borderId="0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vertical="top"/>
    </xf>
    <xf numFmtId="177" fontId="19" fillId="0" borderId="0" xfId="0" applyNumberFormat="1" applyFont="1" applyFill="1" applyBorder="1" applyAlignment="1">
      <alignment shrinkToFit="1"/>
    </xf>
    <xf numFmtId="0" fontId="0" fillId="0" borderId="0" xfId="0" applyFill="1">
      <alignment vertical="center"/>
    </xf>
    <xf numFmtId="0" fontId="0" fillId="0" borderId="0" xfId="0" applyFill="1" applyAlignment="1"/>
    <xf numFmtId="177" fontId="21" fillId="0" borderId="0" xfId="0" applyNumberFormat="1" applyFont="1" applyFill="1" applyBorder="1" applyAlignment="1">
      <alignment shrinkToFit="1"/>
    </xf>
    <xf numFmtId="177" fontId="22" fillId="0" borderId="0" xfId="0" applyNumberFormat="1" applyFont="1" applyFill="1" applyBorder="1" applyAlignment="1">
      <alignment vertical="center" shrinkToFit="1"/>
    </xf>
    <xf numFmtId="0" fontId="23" fillId="3" borderId="0" xfId="0" applyFont="1" applyFill="1" applyAlignment="1">
      <alignment horizontal="right" vertical="center"/>
    </xf>
    <xf numFmtId="0" fontId="23" fillId="3" borderId="0" xfId="0" applyFont="1" applyFill="1" applyBorder="1" applyAlignment="1">
      <alignment horizontal="center" vertical="center"/>
    </xf>
    <xf numFmtId="38" fontId="23" fillId="2" borderId="0" xfId="0" applyNumberFormat="1" applyFont="1" applyFill="1" applyBorder="1" applyAlignment="1">
      <alignment vertical="center" shrinkToFit="1"/>
    </xf>
    <xf numFmtId="0" fontId="23" fillId="3" borderId="6" xfId="0" applyFont="1" applyFill="1" applyBorder="1" applyAlignment="1">
      <alignment horizontal="center" vertical="center"/>
    </xf>
    <xf numFmtId="182" fontId="23" fillId="2" borderId="6" xfId="0" applyNumberFormat="1" applyFont="1" applyFill="1" applyBorder="1" applyAlignment="1">
      <alignment vertical="center" shrinkToFit="1"/>
    </xf>
    <xf numFmtId="0" fontId="17" fillId="3" borderId="0" xfId="0" applyFont="1" applyFill="1" applyBorder="1">
      <alignment vertical="center"/>
    </xf>
    <xf numFmtId="38" fontId="17" fillId="2" borderId="0" xfId="0" applyNumberFormat="1" applyFont="1" applyFill="1" applyBorder="1" applyAlignment="1">
      <alignment vertical="center" shrinkToFit="1"/>
    </xf>
    <xf numFmtId="0" fontId="17" fillId="2" borderId="0" xfId="0" applyFont="1" applyFill="1" applyBorder="1" applyAlignment="1">
      <alignment vertical="center" shrinkToFit="1"/>
    </xf>
    <xf numFmtId="0" fontId="0" fillId="0" borderId="0" xfId="0" applyAlignment="1">
      <alignment vertical="center" wrapText="1" shrinkToFit="1"/>
    </xf>
    <xf numFmtId="38" fontId="24" fillId="0" borderId="0" xfId="0" applyNumberFormat="1" applyFont="1" applyFill="1" applyBorder="1" applyAlignment="1"/>
    <xf numFmtId="177" fontId="25" fillId="2" borderId="0" xfId="0" applyNumberFormat="1" applyFont="1" applyFill="1" applyBorder="1" applyAlignment="1">
      <alignment horizontal="left" vertical="top" shrinkToFit="1"/>
    </xf>
    <xf numFmtId="38" fontId="26" fillId="0" borderId="0" xfId="0" applyNumberFormat="1" applyFont="1">
      <alignment vertical="center"/>
    </xf>
    <xf numFmtId="182" fontId="26" fillId="0" borderId="0" xfId="0" applyNumberFormat="1" applyFont="1">
      <alignment vertical="center"/>
    </xf>
    <xf numFmtId="0" fontId="28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0" fillId="2" borderId="3" xfId="0" applyFill="1" applyBorder="1">
      <alignment vertical="center"/>
    </xf>
    <xf numFmtId="0" fontId="27" fillId="4" borderId="2" xfId="0" applyFont="1" applyFill="1" applyBorder="1">
      <alignment vertical="center"/>
    </xf>
    <xf numFmtId="0" fontId="0" fillId="4" borderId="1" xfId="0" applyFill="1" applyBorder="1" applyAlignment="1">
      <alignment horizontal="right" vertical="center"/>
    </xf>
    <xf numFmtId="9" fontId="0" fillId="4" borderId="1" xfId="2" applyFont="1" applyFill="1" applyBorder="1">
      <alignment vertical="center"/>
    </xf>
    <xf numFmtId="38" fontId="0" fillId="4" borderId="1" xfId="1" applyFont="1" applyFill="1" applyBorder="1">
      <alignment vertical="center"/>
    </xf>
    <xf numFmtId="0" fontId="0" fillId="4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179" fontId="11" fillId="4" borderId="2" xfId="0" applyNumberFormat="1" applyFont="1" applyFill="1" applyBorder="1" applyAlignment="1">
      <alignment horizontal="center" vertical="center" shrinkToFit="1"/>
    </xf>
    <xf numFmtId="179" fontId="11" fillId="4" borderId="3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通貨" xfId="3" builtinId="7"/>
    <cellStyle name="標準" xfId="0" builtinId="0"/>
  </cellStyles>
  <dxfs count="0"/>
  <tableStyles count="0" defaultTableStyle="TableStyleMedium2" defaultPivotStyle="PivotStyleLight16"/>
  <colors>
    <mruColors>
      <color rgb="FFF0F5FA"/>
      <color rgb="FFFCFD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92437226710013E-2"/>
          <c:y val="0.11757771600859832"/>
          <c:w val="0.92775041050903118"/>
          <c:h val="0.734676688637740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データ!$O$21</c:f>
              <c:strCache>
                <c:ptCount val="1"/>
                <c:pt idx="0">
                  <c:v>電気代月額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>
                      <a:defRPr lang="en-US" altLang="ja-JP" sz="700" b="1" i="0" u="none" strike="noStrike" kern="120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288E2CC2-FAEA-4E2D-876B-33C52DE20369}" type="SERIESNAME">
                      <a:rPr lang="ja-JP" altLang="en-US" sz="6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sz="700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700" b="1" baseline="0">
                      <a:ln>
                        <a:noFill/>
                      </a:ln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 algn="ctr">
                      <a:defRPr lang="en-US" altLang="ja-JP" sz="700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AB7FF333-F78A-40EE-8846-DBC85673D9C0}" type="VALUE">
                      <a:rPr lang="ja-JP" altLang="en-US" sz="9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sz="700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altLang="ja-JP" sz="700" b="1" i="0" u="none" strike="noStrike" kern="1200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3045452630323313"/>
                      <c:h val="0.2914866036512619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46E-4DAE-BB44-9735B3A2DA85}"/>
                </c:ext>
              </c:extLst>
            </c:dLbl>
            <c:dLbl>
              <c:idx val="1"/>
              <c:layout>
                <c:manualLayout>
                  <c:x val="1.2514526224673757E-7"/>
                  <c:y val="2.643416716169622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>
                      <a:defRPr lang="en-US" altLang="ja-JP" sz="700" b="1" i="0" u="none" strike="noStrike" kern="120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AAC2F55C-5B0C-4A9C-9B79-5F02FA677BF7}" type="SERIESNAME">
                      <a:rPr lang="ja-JP" altLang="en-US" sz="6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sz="700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700" b="1" baseline="0">
                      <a:ln>
                        <a:noFill/>
                      </a:ln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 algn="ctr">
                      <a:defRPr lang="en-US" altLang="ja-JP" sz="700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6533A173-2684-4194-95B4-3DF81DC98164}" type="VALUE">
                      <a:rPr lang="ja-JP" altLang="en-US" sz="9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sz="700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altLang="ja-JP" sz="700" b="1" i="0" u="none" strike="noStrike" kern="1200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2102933402816153"/>
                      <c:h val="0.2623426675166606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46E-4DAE-BB44-9735B3A2DA85}"/>
                </c:ext>
              </c:extLst>
            </c:dLbl>
            <c:numFmt formatCode="#,##0.0&quot;千&quot;&quot;円&quot;;[Red]\(#,##0.0&quot;千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altLang="ja-JP" sz="700" b="1" i="0" u="none" strike="noStrike" kern="1200" baseline="0">
                    <a:ln>
                      <a:noFill/>
                    </a:ln>
                    <a:solidFill>
                      <a:schemeClr val="bg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データ!$P$21:$Q$21</c:f>
              <c:numCache>
                <c:formatCode>#,##0_);[Red]\(#,##0\)</c:formatCode>
                <c:ptCount val="2"/>
                <c:pt idx="0">
                  <c:v>220725</c:v>
                </c:pt>
                <c:pt idx="1">
                  <c:v>67432.5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6E-4DAE-BB44-9735B3A2DA85}"/>
            </c:ext>
          </c:extLst>
        </c:ser>
        <c:ser>
          <c:idx val="1"/>
          <c:order val="1"/>
          <c:tx>
            <c:strRef>
              <c:f>データ!$O$22</c:f>
              <c:strCache>
                <c:ptCount val="1"/>
                <c:pt idx="0">
                  <c:v>ランプ交換費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656135926759523E-5"/>
                  <c:y val="-9.212038136987754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1" i="0" u="none" strike="noStrike" kern="1200" baseline="0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826F98BB-3E0F-452B-BA49-C5A5AE693031}" type="SERIESNAME">
                      <a:rPr lang="ja-JP" altLang="en-US" sz="600" b="1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800" b="1">
                          <a:ln>
                            <a:noFill/>
                          </a:ln>
                          <a:solidFill>
                            <a:schemeClr val="accent1">
                              <a:lumMod val="75000"/>
                            </a:schemeClr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600" b="1" baseline="0">
                      <a:ln>
                        <a:noFill/>
                      </a:ln>
                      <a:solidFill>
                        <a:schemeClr val="accent1">
                          <a:lumMod val="75000"/>
                        </a:schemeClr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>
                      <a:defRPr sz="800" b="1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7F2D728D-13A7-486F-A2FD-F0D54E3D66F8}" type="VALUE">
                      <a:rPr lang="ja-JP" altLang="en-US" sz="900" b="1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800" b="1">
                          <a:ln>
                            <a:noFill/>
                          </a:ln>
                          <a:solidFill>
                            <a:schemeClr val="accent1">
                              <a:lumMod val="75000"/>
                            </a:schemeClr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1" i="0" u="none" strike="noStrike" kern="1200" baseline="0">
                      <a:ln>
                        <a:noFill/>
                      </a:ln>
                      <a:solidFill>
                        <a:schemeClr val="accent1">
                          <a:lumMod val="75000"/>
                        </a:schemeClr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482001105136188"/>
                      <c:h val="0.2949506873594338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46E-4DAE-BB44-9735B3A2DA8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6E-4DAE-BB44-9735B3A2DA85}"/>
                </c:ext>
              </c:extLst>
            </c:dLbl>
            <c:numFmt formatCode="#,##0.0&quot;千&quot;&quot;円&quot;;[Red]\(#,##0.0&quot;千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ln>
                      <a:noFill/>
                    </a:ln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データ!$P$22:$Q$22</c:f>
              <c:numCache>
                <c:formatCode>General</c:formatCode>
                <c:ptCount val="2"/>
                <c:pt idx="0" formatCode="#,##0_);[Red]\(#,##0\)">
                  <c:v>12708.333333333334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6E-4DAE-BB44-9735B3A2DA85}"/>
            </c:ext>
          </c:extLst>
        </c:ser>
        <c:ser>
          <c:idx val="2"/>
          <c:order val="2"/>
          <c:tx>
            <c:strRef>
              <c:f>データ!$O$23</c:f>
              <c:strCache>
                <c:ptCount val="1"/>
                <c:pt idx="0">
                  <c:v>月額料金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6E-4DAE-BB44-9735B3A2DA85}"/>
              </c:ext>
            </c:extLst>
          </c:dPt>
          <c:dLbls>
            <c:dLbl>
              <c:idx val="1"/>
              <c:layout>
                <c:manualLayout>
                  <c:x val="1.7292572353357996E-3"/>
                  <c:y val="2.8975573773016797E-2"/>
                </c:manualLayout>
              </c:layout>
              <c:tx>
                <c:rich>
                  <a:bodyPr rot="0" spcFirstLastPara="1" vertOverflow="overflow" horzOverflow="overflow" vert="horz" wrap="square" lIns="0" tIns="0" rIns="0" bIns="0" anchor="ctr" anchorCtr="1">
                    <a:noAutofit/>
                  </a:bodyPr>
                  <a:lstStyle/>
                  <a:p>
                    <a:pPr>
                      <a:defRPr sz="700" b="1" i="0" u="none" strike="noStrike" kern="120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FBBFB110-431A-4594-8291-A2E20C84E83B}" type="SERIESNAME">
                      <a:rPr lang="ja-JP" altLang="en-US" sz="600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700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700" b="1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>
                      <a:defRPr sz="700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5BA66A73-F339-4DF8-98AE-3731A8E49595}" type="VALUE">
                      <a:rPr lang="ja-JP" altLang="en-US" sz="900" b="1" kern="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700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0" tIns="0" rIns="0" bIns="0" anchor="ctr" anchorCtr="1">
                  <a:noAutofit/>
                </a:bodyPr>
                <a:lstStyle/>
                <a:p>
                  <a:pPr>
                    <a:defRPr sz="700" b="1" i="0" u="none" strike="noStrike" kern="1200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7312971673273027"/>
                      <c:h val="0.2570690294068638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46E-4DAE-BB44-9735B3A2DA8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データ!$P$23:$Q$23</c:f>
              <c:numCache>
                <c:formatCode>#,##0_);[Red]\(#,##0\)</c:formatCode>
                <c:ptCount val="2"/>
                <c:pt idx="1">
                  <c:v>92300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6E-4DAE-BB44-9735B3A2DA85}"/>
            </c:ext>
          </c:extLst>
        </c:ser>
        <c:ser>
          <c:idx val="3"/>
          <c:order val="3"/>
          <c:tx>
            <c:strRef>
              <c:f>データ!$O$24</c:f>
              <c:strCache>
                <c:ptCount val="1"/>
                <c:pt idx="0">
                  <c:v>月額削減分</c:v>
                </c:pt>
              </c:strCache>
            </c:strRef>
          </c:tx>
          <c:spPr>
            <a:noFill/>
            <a:ln w="28575">
              <a:solidFill>
                <a:srgbClr val="FF0000"/>
              </a:solidFill>
              <a:prstDash val="sysDash"/>
            </a:ln>
            <a:effectLst/>
          </c:spPr>
          <c:invertIfNegative val="0"/>
          <c:dLbls>
            <c:dLbl>
              <c:idx val="1"/>
              <c:layout>
                <c:manualLayout>
                  <c:x val="-6.0455541728874256E-3"/>
                  <c:y val="4.391589701587438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58C5D8FD-B754-4CC9-A07B-2675908C3EEC}" type="SERIESNAME">
                      <a:rPr lang="ja-JP" altLang="en-US" sz="600" b="1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b="1">
                          <a:ln w="9525">
                            <a:noFill/>
                          </a:ln>
                          <a:solidFill>
                            <a:srgbClr val="FF0000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600" b="1" baseline="0">
                      <a:ln w="9525">
                        <a:noFill/>
                      </a:ln>
                      <a:solidFill>
                        <a:srgbClr val="FF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>
                      <a:defRPr b="1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B9AC5372-0DAD-4BFA-8233-33139B1A75F6}" type="VALUE">
                      <a:rPr lang="ja-JP" altLang="en-US" sz="900" b="1" u="none" baseline="0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b="1">
                          <a:ln w="9525">
                            <a:noFill/>
                          </a:ln>
                          <a:solidFill>
                            <a:srgbClr val="FF0000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ln w="9525">
                        <a:noFill/>
                      </a:ln>
                      <a:solidFill>
                        <a:srgbClr val="FF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3196648851711589"/>
                      <c:h val="0.3302856792311588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46E-4DAE-BB44-9735B3A2DA85}"/>
                </c:ext>
              </c:extLst>
            </c:dLbl>
            <c:numFmt formatCode="#,##0.0&quot;千&quot;&quot;円&quot;;[Red]\(#,##0.0&quot;千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データ!$P$24:$Q$24</c:f>
              <c:numCache>
                <c:formatCode>#,##0_);[Red]\(#,##0\)</c:formatCode>
                <c:ptCount val="2"/>
                <c:pt idx="1">
                  <c:v>73700.833333333343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6E-4DAE-BB44-9735B3A2D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7"/>
        <c:overlap val="100"/>
        <c:axId val="731105728"/>
        <c:axId val="731106120"/>
      </c:barChart>
      <c:catAx>
        <c:axId val="73110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M+ 1c medium" panose="020B0602020203020207" pitchFamily="50" charset="-128"/>
              </a:defRPr>
            </a:pPr>
            <a:endParaRPr lang="ja-JP"/>
          </a:p>
        </c:txPr>
        <c:crossAx val="731106120"/>
        <c:crosses val="autoZero"/>
        <c:auto val="1"/>
        <c:lblAlgn val="ctr"/>
        <c:lblOffset val="100"/>
        <c:noMultiLvlLbl val="0"/>
      </c:catAx>
      <c:valAx>
        <c:axId val="731106120"/>
        <c:scaling>
          <c:orientation val="minMax"/>
        </c:scaling>
        <c:delete val="1"/>
        <c:axPos val="l"/>
        <c:numFmt formatCode="&quot;¥&quot;#,##0_);[Red]\(&quot;¥&quot;#,##0\)" sourceLinked="0"/>
        <c:majorTickMark val="none"/>
        <c:minorTickMark val="none"/>
        <c:tickLblPos val="nextTo"/>
        <c:crossAx val="73110572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92437226710013E-2"/>
          <c:y val="5.1556577692928707E-2"/>
          <c:w val="0.92775041050903118"/>
          <c:h val="0.813638316068832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データ!$O$21</c:f>
              <c:strCache>
                <c:ptCount val="1"/>
                <c:pt idx="0">
                  <c:v>電気代月額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>
                      <a:defRPr lang="en-US" altLang="ja-JP" sz="900" b="1" i="0" u="none" strike="noStrike" kern="120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288E2CC2-FAEA-4E2D-876B-33C52DE20369}" type="SERIESNAME">
                      <a:rPr lang="ja-JP" altLang="en-US" sz="9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900" b="1" baseline="0">
                      <a:ln>
                        <a:noFill/>
                      </a:ln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 algn="ctr">
                      <a:defRPr lang="en-US" altLang="ja-JP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AB7FF333-F78A-40EE-8846-DBC85673D9C0}" type="VALUE">
                      <a:rPr lang="ja-JP" altLang="en-US" sz="14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altLang="ja-JP" sz="900" b="1" i="0" u="none" strike="noStrike" kern="1200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3045452630323313"/>
                      <c:h val="0.2914866036512619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FFE-4090-8F08-19C96286DC76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>
                      <a:defRPr lang="en-US" altLang="ja-JP" sz="900" b="1" i="0" u="none" strike="noStrike" kern="120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AAC2F55C-5B0C-4A9C-9B79-5F02FA677BF7}" type="SERIESNAME">
                      <a:rPr lang="ja-JP" altLang="en-US" sz="9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1050" b="1" baseline="0">
                      <a:ln>
                        <a:noFill/>
                      </a:ln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 algn="ctr">
                      <a:defRPr lang="en-US" altLang="ja-JP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6533A173-2684-4194-95B4-3DF81DC98164}" type="VALUE">
                      <a:rPr lang="ja-JP" altLang="en-US" sz="1200" b="1">
                        <a:ln>
                          <a:noFill/>
                        </a:ln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lang="en-US" altLang="ja-JP"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altLang="ja-JP" sz="900" b="1" i="0" u="none" strike="noStrike" kern="1200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2102934473511274"/>
                      <c:h val="0.1728526838035149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FFE-4090-8F08-19C96286DC76}"/>
                </c:ext>
              </c:extLst>
            </c:dLbl>
            <c:numFmt formatCode="#,##0.0&quot;千&quot;&quot;円&quot;;[Red]\(#,##0.0&quot;千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altLang="ja-JP" sz="900" b="1" i="0" u="none" strike="noStrike" kern="1200" baseline="0">
                    <a:ln>
                      <a:noFill/>
                    </a:ln>
                    <a:solidFill>
                      <a:schemeClr val="bg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データ!$P$21:$Q$21</c:f>
              <c:numCache>
                <c:formatCode>#,##0_);[Red]\(#,##0\)</c:formatCode>
                <c:ptCount val="2"/>
                <c:pt idx="0">
                  <c:v>220725</c:v>
                </c:pt>
                <c:pt idx="1">
                  <c:v>67432.5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FE-4090-8F08-19C96286DC76}"/>
            </c:ext>
          </c:extLst>
        </c:ser>
        <c:ser>
          <c:idx val="1"/>
          <c:order val="1"/>
          <c:tx>
            <c:strRef>
              <c:f>データ!$O$22</c:f>
              <c:strCache>
                <c:ptCount val="1"/>
                <c:pt idx="0">
                  <c:v>ランプ交換費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51954965881841E-5"/>
                  <c:y val="-2.692511445372469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1" i="0" u="none" strike="noStrike" kern="1200" baseline="0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826F98BB-3E0F-452B-BA49-C5A5AE693031}" type="SERIESNAME">
                      <a:rPr lang="ja-JP" altLang="en-US" sz="900" b="1" baseline="0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700" b="1">
                          <a:ln>
                            <a:noFill/>
                          </a:ln>
                          <a:solidFill>
                            <a:schemeClr val="accent1">
                              <a:lumMod val="75000"/>
                            </a:schemeClr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sz="700" b="1" baseline="0">
                      <a:ln>
                        <a:noFill/>
                      </a:ln>
                      <a:solidFill>
                        <a:schemeClr val="accent1">
                          <a:lumMod val="75000"/>
                        </a:schemeClr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>
                      <a:defRPr sz="700" b="1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7F2D728D-13A7-486F-A2FD-F0D54E3D66F8}" type="VALUE">
                      <a:rPr lang="ja-JP" altLang="en-US" sz="1200" b="1" baseline="0">
                        <a:ln>
                          <a:noFill/>
                        </a:ln>
                        <a:solidFill>
                          <a:schemeClr val="accent1">
                            <a:lumMod val="75000"/>
                          </a:schemeClr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sz="700" b="1">
                          <a:ln>
                            <a:noFill/>
                          </a:ln>
                          <a:solidFill>
                            <a:schemeClr val="accent1">
                              <a:lumMod val="75000"/>
                            </a:schemeClr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1" i="0" u="none" strike="noStrike" kern="1200" baseline="0">
                      <a:ln>
                        <a:noFill/>
                      </a:ln>
                      <a:solidFill>
                        <a:schemeClr val="accent1">
                          <a:lumMod val="75000"/>
                        </a:schemeClr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4043163869008491"/>
                      <c:h val="0.1922534496727380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FFE-4090-8F08-19C96286DC7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FE-4090-8F08-19C96286DC76}"/>
                </c:ext>
              </c:extLst>
            </c:dLbl>
            <c:numFmt formatCode="#,##0.0&quot;千&quot;&quot;円&quot;;[Red]\(#,##0.0&quot;千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データ!$P$22:$Q$22</c:f>
              <c:numCache>
                <c:formatCode>General</c:formatCode>
                <c:ptCount val="2"/>
                <c:pt idx="0" formatCode="#,##0_);[Red]\(#,##0\)">
                  <c:v>12708.333333333334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FE-4090-8F08-19C96286DC76}"/>
            </c:ext>
          </c:extLst>
        </c:ser>
        <c:ser>
          <c:idx val="2"/>
          <c:order val="2"/>
          <c:tx>
            <c:strRef>
              <c:f>データ!$O$23</c:f>
              <c:strCache>
                <c:ptCount val="1"/>
                <c:pt idx="0">
                  <c:v>月額料金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DFFE-4090-8F08-19C96286DC76}"/>
              </c:ext>
            </c:extLst>
          </c:dPt>
          <c:dLbls>
            <c:dLbl>
              <c:idx val="1"/>
              <c:layout>
                <c:manualLayout>
                  <c:x val="1.7291907550654397E-3"/>
                  <c:y val="2.549364622448865E-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FBBFB110-431A-4594-8291-A2E20C84E83B}" type="SERIESNAME">
                      <a:rPr lang="ja-JP" altLang="en-US" sz="1000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b="1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>
                      <a:defRPr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5BA66A73-F339-4DF8-98AE-3731A8E49595}" type="VALUE">
                      <a:rPr lang="ja-JP" altLang="en-US" sz="1200" b="1">
                        <a:ln>
                          <a:noFill/>
                        </a:ln>
                        <a:solidFill>
                          <a:schemeClr val="bg1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b="1">
                          <a:ln>
                            <a:noFill/>
                          </a:ln>
                          <a:solidFill>
                            <a:schemeClr val="bg1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ln>
                        <a:noFill/>
                      </a:ln>
                      <a:solidFill>
                        <a:schemeClr val="bg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7312968277110581"/>
                      <c:h val="0.2096921234320770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DFFE-4090-8F08-19C96286DC76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データ!$P$23:$Q$23</c:f>
              <c:numCache>
                <c:formatCode>#,##0_);[Red]\(#,##0\)</c:formatCode>
                <c:ptCount val="2"/>
                <c:pt idx="1">
                  <c:v>92300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FE-4090-8F08-19C96286DC76}"/>
            </c:ext>
          </c:extLst>
        </c:ser>
        <c:ser>
          <c:idx val="3"/>
          <c:order val="3"/>
          <c:tx>
            <c:strRef>
              <c:f>データ!$O$24</c:f>
              <c:strCache>
                <c:ptCount val="1"/>
                <c:pt idx="0">
                  <c:v>月額削減分</c:v>
                </c:pt>
              </c:strCache>
            </c:strRef>
          </c:tx>
          <c:spPr>
            <a:noFill/>
            <a:ln w="28575">
              <a:solidFill>
                <a:srgbClr val="FF0000"/>
              </a:solidFill>
              <a:prstDash val="sysDash"/>
            </a:ln>
            <a:effectLst/>
          </c:spPr>
          <c:invertIfNegative val="0"/>
          <c:dLbls>
            <c:dLbl>
              <c:idx val="1"/>
              <c:layout>
                <c:manualLayout>
                  <c:x val="-4.1220095211694429E-3"/>
                  <c:y val="4.391535497607930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  <a:cs typeface="+mn-cs"/>
                      </a:defRPr>
                    </a:pPr>
                    <a:fld id="{58C5D8FD-B754-4CC9-A07B-2675908C3EEC}" type="SERIESNAME">
                      <a:rPr lang="ja-JP" altLang="en-US" sz="900" b="1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b="1">
                          <a:ln w="9525">
                            <a:noFill/>
                          </a:ln>
                          <a:solidFill>
                            <a:srgbClr val="FF0000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[系列名]</a:t>
                    </a:fld>
                    <a:endParaRPr lang="ja-JP" altLang="en-US" b="1" baseline="0">
                      <a:ln w="9525">
                        <a:noFill/>
                      </a:ln>
                      <a:solidFill>
                        <a:srgbClr val="FF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  <a:p>
                    <a:pPr>
                      <a:defRPr b="1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B9AC5372-0DAD-4BFA-8233-33139B1A75F6}" type="VALUE">
                      <a:rPr lang="ja-JP" altLang="en-US" sz="1200" b="1" u="none" baseline="0">
                        <a:ln w="9525">
                          <a:noFill/>
                        </a:ln>
                        <a:solidFill>
                          <a:srgbClr val="FF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>
                        <a:defRPr b="1">
                          <a:ln w="9525">
                            <a:noFill/>
                          </a:ln>
                          <a:solidFill>
                            <a:srgbClr val="FF0000"/>
                          </a:solidFill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.0&quot;千&quot;&quot;円&quot;;[Red]\(#,##0.0&quot;千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ln w="9525">
                        <a:noFill/>
                      </a:ln>
                      <a:solidFill>
                        <a:srgbClr val="FF0000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8509922287172021"/>
                      <c:h val="0.3302857378855467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89E-44F1-852B-3584BAA25F51}"/>
                </c:ext>
              </c:extLst>
            </c:dLbl>
            <c:numFmt formatCode="#,##0.0&quot;千&quot;&quot;円&quot;;[Red]\(#,##0.0&quot;千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データ!$P$20:$Q$20</c:f>
              <c:strCache>
                <c:ptCount val="2"/>
                <c:pt idx="0">
                  <c:v>既設器具</c:v>
                </c:pt>
                <c:pt idx="1">
                  <c:v>LED器具</c:v>
                </c:pt>
              </c:strCache>
            </c:strRef>
          </c:cat>
          <c:val>
            <c:numRef>
              <c:f>データ!$P$24:$Q$24</c:f>
              <c:numCache>
                <c:formatCode>#,##0_);[Red]\(#,##0\)</c:formatCode>
                <c:ptCount val="2"/>
                <c:pt idx="1">
                  <c:v>73700.833333333343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AE-42E4-B546-E93657AA6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7"/>
        <c:overlap val="100"/>
        <c:axId val="731105728"/>
        <c:axId val="731106120"/>
      </c:barChart>
      <c:catAx>
        <c:axId val="73110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M+ 1c medium" panose="020B0602020203020207" pitchFamily="50" charset="-128"/>
              </a:defRPr>
            </a:pPr>
            <a:endParaRPr lang="ja-JP"/>
          </a:p>
        </c:txPr>
        <c:crossAx val="731106120"/>
        <c:crosses val="autoZero"/>
        <c:auto val="1"/>
        <c:lblAlgn val="ctr"/>
        <c:lblOffset val="100"/>
        <c:noMultiLvlLbl val="0"/>
      </c:catAx>
      <c:valAx>
        <c:axId val="731106120"/>
        <c:scaling>
          <c:orientation val="minMax"/>
        </c:scaling>
        <c:delete val="1"/>
        <c:axPos val="l"/>
        <c:numFmt formatCode="&quot;¥&quot;#,##0_);[Red]\(&quot;¥&quot;#,##0\)" sourceLinked="0"/>
        <c:majorTickMark val="none"/>
        <c:minorTickMark val="none"/>
        <c:tickLblPos val="nextTo"/>
        <c:crossAx val="73110572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データ!$N$4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データ!$O$3:$AC$3</c:f>
              <c:numCache>
                <c:formatCode>0"年""目"</c:formatCode>
                <c:ptCount val="15"/>
              </c:numCache>
            </c:numRef>
          </c:cat>
          <c:val>
            <c:numRef>
              <c:f>データ!$O$4:$AC$4</c:f>
              <c:numCache>
                <c:formatCode>#,##0_);[Red]\(#,##0\)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6B-4C99-A797-750908645D27}"/>
            </c:ext>
          </c:extLst>
        </c:ser>
        <c:ser>
          <c:idx val="1"/>
          <c:order val="1"/>
          <c:tx>
            <c:strRef>
              <c:f>データ!$N$5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データ!$O$3:$AC$3</c:f>
              <c:numCache>
                <c:formatCode>0"年""目"</c:formatCode>
                <c:ptCount val="15"/>
              </c:numCache>
            </c:numRef>
          </c:cat>
          <c:val>
            <c:numRef>
              <c:f>データ!$O$5:$AC$5</c:f>
              <c:numCache>
                <c:formatCode>#,##0_);[Red]\(#,##0\)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6B-4C99-A797-750908645D27}"/>
            </c:ext>
          </c:extLst>
        </c:ser>
        <c:ser>
          <c:idx val="2"/>
          <c:order val="2"/>
          <c:tx>
            <c:strRef>
              <c:f>データ!$N$6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データ!$O$3:$AC$3</c:f>
              <c:numCache>
                <c:formatCode>0"年""目"</c:formatCode>
                <c:ptCount val="15"/>
              </c:numCache>
            </c:numRef>
          </c:cat>
          <c:val>
            <c:numRef>
              <c:f>データ!$O$6:$AC$6</c:f>
              <c:numCache>
                <c:formatCode>#,##0_);[Red]\(#,##0\)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6B-4C99-A797-750908645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0848127"/>
        <c:axId val="1704678415"/>
      </c:lineChart>
      <c:catAx>
        <c:axId val="1670848127"/>
        <c:scaling>
          <c:orientation val="minMax"/>
        </c:scaling>
        <c:delete val="0"/>
        <c:axPos val="b"/>
        <c:numFmt formatCode="0&quot;年&quot;&quot;目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04678415"/>
        <c:crosses val="autoZero"/>
        <c:auto val="1"/>
        <c:lblAlgn val="ctr"/>
        <c:lblOffset val="100"/>
        <c:noMultiLvlLbl val="0"/>
      </c:catAx>
      <c:valAx>
        <c:axId val="170467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70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データ!$K$21</c:f>
              <c:strCache>
                <c:ptCount val="1"/>
                <c:pt idx="0">
                  <c:v>電気代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79A-4F11-BBA4-B71B0552632E}"/>
              </c:ext>
            </c:extLst>
          </c:dPt>
          <c:dLbls>
            <c:dLbl>
              <c:idx val="0"/>
              <c:layout>
                <c:manualLayout>
                  <c:x val="1.934563445847021E-2"/>
                  <c:y val="0.1175471370187313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ln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</a:ln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B90FB4A-3EBB-4FCE-BB38-68641AE1A262}" type="VALUE">
                      <a:rPr lang="en-US" altLang="ja-JP" sz="1400">
                        <a:ln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</a:ln>
                        <a:solidFill>
                          <a:schemeClr val="bg1"/>
                        </a:solidFill>
                        <a:latin typeface="HGP創英角ｺﾞｼｯｸUB" panose="020B0900000000000000" pitchFamily="50" charset="-128"/>
                        <a:ea typeface="HGP創英角ｺﾞｼｯｸUB" panose="020B0900000000000000" pitchFamily="50" charset="-128"/>
                      </a:rPr>
                      <a:pPr>
                        <a:defRPr sz="1400">
                          <a:ln>
                            <a:solidFill>
                              <a:schemeClr val="tx1">
                                <a:lumMod val="65000"/>
                                <a:lumOff val="35000"/>
                              </a:schemeClr>
                            </a:solidFill>
                          </a:ln>
                          <a:solidFill>
                            <a:schemeClr val="bg1"/>
                          </a:solidFill>
                        </a:defRPr>
                      </a:pPr>
                      <a:t>[値]</a:t>
                    </a:fld>
                    <a:r>
                      <a:rPr lang="ja-JP" altLang="en-US" sz="1400">
                        <a:ln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</a:ln>
                        <a:solidFill>
                          <a:schemeClr val="bg1"/>
                        </a:solidFill>
                        <a:latin typeface="HGP創英角ｺﾞｼｯｸUB" panose="020B0900000000000000" pitchFamily="50" charset="-128"/>
                        <a:ea typeface="HGP創英角ｺﾞｼｯｸUB" panose="020B0900000000000000" pitchFamily="50" charset="-128"/>
                      </a:rPr>
                      <a:t>千円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ln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ln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50014014160395115"/>
                      <c:h val="0.195813767896846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79A-4F11-BBA4-B71B0552632E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ln>
                          <a:solidFill>
                            <a:schemeClr val="accent1">
                              <a:lumMod val="75000"/>
                            </a:schemeClr>
                          </a:solidFill>
                        </a:ln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8678926-FFB6-4960-BDD7-A27744D4749F}" type="VALUE">
                      <a:rPr lang="en-US" altLang="ja-JP" sz="1200">
                        <a:ln>
                          <a:solidFill>
                            <a:schemeClr val="accent1">
                              <a:lumMod val="75000"/>
                            </a:schemeClr>
                          </a:solidFill>
                        </a:ln>
                        <a:solidFill>
                          <a:schemeClr val="bg1"/>
                        </a:solidFill>
                        <a:latin typeface="HGP創英角ｺﾞｼｯｸUB" panose="020B0900000000000000" pitchFamily="50" charset="-128"/>
                        <a:ea typeface="HGP創英角ｺﾞｼｯｸUB" panose="020B0900000000000000" pitchFamily="50" charset="-128"/>
                      </a:rPr>
                      <a:pPr>
                        <a:defRPr sz="1200">
                          <a:ln>
                            <a:solidFill>
                              <a:schemeClr val="accent1">
                                <a:lumMod val="75000"/>
                              </a:schemeClr>
                            </a:solidFill>
                          </a:ln>
                          <a:solidFill>
                            <a:schemeClr val="bg1"/>
                          </a:solidFill>
                        </a:defRPr>
                      </a:pPr>
                      <a:t>[値]</a:t>
                    </a:fld>
                    <a:r>
                      <a:rPr lang="ja-JP" altLang="en-US" sz="1200">
                        <a:ln>
                          <a:solidFill>
                            <a:schemeClr val="accent1">
                              <a:lumMod val="75000"/>
                            </a:schemeClr>
                          </a:solidFill>
                        </a:ln>
                        <a:solidFill>
                          <a:schemeClr val="bg1"/>
                        </a:solidFill>
                        <a:latin typeface="HGP創英角ｺﾞｼｯｸUB" panose="020B0900000000000000" pitchFamily="50" charset="-128"/>
                        <a:ea typeface="HGP創英角ｺﾞｼｯｸUB" panose="020B0900000000000000" pitchFamily="50" charset="-128"/>
                      </a:rPr>
                      <a:t>千円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ln>
                        <a:solidFill>
                          <a:schemeClr val="accent1">
                            <a:lumMod val="75000"/>
                          </a:schemeClr>
                        </a:solidFill>
                      </a:ln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961662131649548"/>
                      <c:h val="0.1566314745911568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79A-4F11-BBA4-B71B055263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データ!$L$20:$M$20</c:f>
              <c:strCache>
                <c:ptCount val="2"/>
                <c:pt idx="0">
                  <c:v>既設</c:v>
                </c:pt>
                <c:pt idx="1">
                  <c:v>更新後</c:v>
                </c:pt>
              </c:strCache>
            </c:strRef>
          </c:cat>
          <c:val>
            <c:numRef>
              <c:f>データ!$L$21:$M$21</c:f>
              <c:numCache>
                <c:formatCode>#,##0_);[Red]\(#,##0\)</c:formatCode>
                <c:ptCount val="2"/>
                <c:pt idx="0">
                  <c:v>2648700</c:v>
                </c:pt>
                <c:pt idx="1">
                  <c:v>809190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9A-4F11-BBA4-B71B05526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overlap val="-27"/>
        <c:axId val="731105728"/>
        <c:axId val="731106120"/>
      </c:barChart>
      <c:catAx>
        <c:axId val="73110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  <a:cs typeface="M+ 1c medium" panose="020B0602020203020207" pitchFamily="50" charset="-128"/>
              </a:defRPr>
            </a:pPr>
            <a:endParaRPr lang="ja-JP"/>
          </a:p>
        </c:txPr>
        <c:crossAx val="731106120"/>
        <c:crosses val="autoZero"/>
        <c:auto val="1"/>
        <c:lblAlgn val="ctr"/>
        <c:lblOffset val="100"/>
        <c:noMultiLvlLbl val="0"/>
      </c:catAx>
      <c:valAx>
        <c:axId val="731106120"/>
        <c:scaling>
          <c:orientation val="minMax"/>
        </c:scaling>
        <c:delete val="1"/>
        <c:axPos val="l"/>
        <c:numFmt formatCode="&quot;¥&quot;#,##0_);[Red]\(&quot;¥&quot;#,##0\)" sourceLinked="0"/>
        <c:majorTickMark val="none"/>
        <c:minorTickMark val="none"/>
        <c:tickLblPos val="nextTo"/>
        <c:crossAx val="73110572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image" Target="../media/image2.emf"/><Relationship Id="rId7" Type="http://schemas.openxmlformats.org/officeDocument/2006/relationships/image" Target="../media/image6.emf"/><Relationship Id="rId12" Type="http://schemas.openxmlformats.org/officeDocument/2006/relationships/image" Target="../media/image11.emf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5.emf"/><Relationship Id="rId11" Type="http://schemas.openxmlformats.org/officeDocument/2006/relationships/image" Target="../media/image10.emf"/><Relationship Id="rId5" Type="http://schemas.openxmlformats.org/officeDocument/2006/relationships/image" Target="../media/image4.emf"/><Relationship Id="rId10" Type="http://schemas.openxmlformats.org/officeDocument/2006/relationships/image" Target="../media/image9.emf"/><Relationship Id="rId4" Type="http://schemas.openxmlformats.org/officeDocument/2006/relationships/image" Target="../media/image3.emf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emf"/><Relationship Id="rId13" Type="http://schemas.openxmlformats.org/officeDocument/2006/relationships/image" Target="../media/image11.emf"/><Relationship Id="rId3" Type="http://schemas.openxmlformats.org/officeDocument/2006/relationships/image" Target="../media/image2.emf"/><Relationship Id="rId7" Type="http://schemas.openxmlformats.org/officeDocument/2006/relationships/image" Target="../media/image6.emf"/><Relationship Id="rId12" Type="http://schemas.openxmlformats.org/officeDocument/2006/relationships/image" Target="../media/image10.emf"/><Relationship Id="rId2" Type="http://schemas.openxmlformats.org/officeDocument/2006/relationships/chart" Target="../charts/chart2.xml"/><Relationship Id="rId1" Type="http://schemas.openxmlformats.org/officeDocument/2006/relationships/image" Target="../media/image22.jpeg"/><Relationship Id="rId6" Type="http://schemas.openxmlformats.org/officeDocument/2006/relationships/image" Target="../media/image5.emf"/><Relationship Id="rId11" Type="http://schemas.openxmlformats.org/officeDocument/2006/relationships/image" Target="../media/image9.emf"/><Relationship Id="rId5" Type="http://schemas.openxmlformats.org/officeDocument/2006/relationships/image" Target="../media/image4.emf"/><Relationship Id="rId10" Type="http://schemas.openxmlformats.org/officeDocument/2006/relationships/image" Target="../media/image8.emf"/><Relationship Id="rId4" Type="http://schemas.openxmlformats.org/officeDocument/2006/relationships/image" Target="../media/image3.emf"/><Relationship Id="rId9" Type="http://schemas.openxmlformats.org/officeDocument/2006/relationships/image" Target="../media/image2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3" Type="http://schemas.openxmlformats.org/officeDocument/2006/relationships/image" Target="../media/image14.emf"/><Relationship Id="rId7" Type="http://schemas.openxmlformats.org/officeDocument/2006/relationships/image" Target="../media/image18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17.emf"/><Relationship Id="rId5" Type="http://schemas.openxmlformats.org/officeDocument/2006/relationships/image" Target="../media/image16.emf"/><Relationship Id="rId10" Type="http://schemas.openxmlformats.org/officeDocument/2006/relationships/image" Target="../media/image21.emf"/><Relationship Id="rId4" Type="http://schemas.openxmlformats.org/officeDocument/2006/relationships/image" Target="../media/image15.emf"/><Relationship Id="rId9" Type="http://schemas.openxmlformats.org/officeDocument/2006/relationships/image" Target="../media/image20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emf"/><Relationship Id="rId3" Type="http://schemas.openxmlformats.org/officeDocument/2006/relationships/image" Target="../media/image14.emf"/><Relationship Id="rId7" Type="http://schemas.openxmlformats.org/officeDocument/2006/relationships/image" Target="../media/image26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25.emf"/><Relationship Id="rId11" Type="http://schemas.openxmlformats.org/officeDocument/2006/relationships/image" Target="../media/image21.emf"/><Relationship Id="rId5" Type="http://schemas.openxmlformats.org/officeDocument/2006/relationships/image" Target="../media/image16.emf"/><Relationship Id="rId10" Type="http://schemas.openxmlformats.org/officeDocument/2006/relationships/image" Target="../media/image20.emf"/><Relationship Id="rId4" Type="http://schemas.openxmlformats.org/officeDocument/2006/relationships/image" Target="../media/image15.emf"/><Relationship Id="rId9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110218</xdr:colOff>
      <xdr:row>0</xdr:row>
      <xdr:rowOff>0</xdr:rowOff>
    </xdr:from>
    <xdr:to>
      <xdr:col>14</xdr:col>
      <xdr:colOff>1612646</xdr:colOff>
      <xdr:row>60</xdr:row>
      <xdr:rowOff>225136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A92F8270-07E8-4ADE-AD2D-51DEE4B0B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218" y="0"/>
          <a:ext cx="12024752" cy="16910695"/>
        </a:xfrm>
        <a:prstGeom prst="rect">
          <a:avLst/>
        </a:prstGeom>
      </xdr:spPr>
    </xdr:pic>
    <xdr:clientData/>
  </xdr:twoCellAnchor>
  <xdr:twoCellAnchor>
    <xdr:from>
      <xdr:col>10</xdr:col>
      <xdr:colOff>68298</xdr:colOff>
      <xdr:row>49</xdr:row>
      <xdr:rowOff>108089</xdr:rowOff>
    </xdr:from>
    <xdr:to>
      <xdr:col>14</xdr:col>
      <xdr:colOff>372718</xdr:colOff>
      <xdr:row>55</xdr:row>
      <xdr:rowOff>224302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C40F13F-B5A5-4B16-A1A3-88BF89CEB4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366057</xdr:colOff>
          <xdr:row>37</xdr:row>
          <xdr:rowOff>223630</xdr:rowOff>
        </xdr:from>
        <xdr:to>
          <xdr:col>8</xdr:col>
          <xdr:colOff>72617</xdr:colOff>
          <xdr:row>39</xdr:row>
          <xdr:rowOff>110632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F8819515-D78E-49F7-B326-B90F231826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D$10" spid="_x0000_s641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803340" y="9665804"/>
              <a:ext cx="1768929" cy="3673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604629</xdr:colOff>
          <xdr:row>36</xdr:row>
          <xdr:rowOff>210330</xdr:rowOff>
        </xdr:from>
        <xdr:to>
          <xdr:col>14</xdr:col>
          <xdr:colOff>123488</xdr:colOff>
          <xdr:row>37</xdr:row>
          <xdr:rowOff>181061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5CD6B5EC-D3E3-4AC6-A0F5-F8041C0ED2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I$21:$K$21" spid="_x0000_s64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8166651" y="9412308"/>
              <a:ext cx="2533728" cy="21092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349053</xdr:colOff>
          <xdr:row>33</xdr:row>
          <xdr:rowOff>77580</xdr:rowOff>
        </xdr:from>
        <xdr:to>
          <xdr:col>13</xdr:col>
          <xdr:colOff>52171</xdr:colOff>
          <xdr:row>34</xdr:row>
          <xdr:rowOff>202519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589B550D-6CEF-4D87-8C73-3901D6B7E11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D$23" spid="_x0000_s641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152624" y="8690901"/>
              <a:ext cx="1744190" cy="36986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585850</xdr:colOff>
          <xdr:row>16</xdr:row>
          <xdr:rowOff>67236</xdr:rowOff>
        </xdr:from>
        <xdr:to>
          <xdr:col>9</xdr:col>
          <xdr:colOff>184390</xdr:colOff>
          <xdr:row>17</xdr:row>
          <xdr:rowOff>247880</xdr:rowOff>
        </xdr:to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33D9B137-3D62-430B-A447-A02FFB66FD3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R$4" spid="_x0000_s641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952968" y="3966883"/>
              <a:ext cx="4383451" cy="41596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156825</xdr:colOff>
          <xdr:row>37</xdr:row>
          <xdr:rowOff>159774</xdr:rowOff>
        </xdr:from>
        <xdr:to>
          <xdr:col>13</xdr:col>
          <xdr:colOff>558636</xdr:colOff>
          <xdr:row>39</xdr:row>
          <xdr:rowOff>110948</xdr:rowOff>
        </xdr:to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6DBBECE5-8AED-4C2B-BBAE-871ABD0422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D$7" spid="_x0000_s6418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7675972" y="9438245"/>
              <a:ext cx="1768929" cy="42182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2352</xdr:colOff>
          <xdr:row>43</xdr:row>
          <xdr:rowOff>16565</xdr:rowOff>
        </xdr:from>
        <xdr:to>
          <xdr:col>10</xdr:col>
          <xdr:colOff>132521</xdr:colOff>
          <xdr:row>46</xdr:row>
          <xdr:rowOff>52104</xdr:rowOff>
        </xdr:to>
        <xdr:pic>
          <xdr:nvPicPr>
            <xdr:cNvPr id="9" name="図 8">
              <a:extLst>
                <a:ext uri="{FF2B5EF4-FFF2-40B4-BE49-F238E27FC236}">
                  <a16:creationId xmlns:a16="http://schemas.microsoft.com/office/drawing/2014/main" id="{54935E7C-CCB0-469A-AB17-22C17A5C77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F$16" spid="_x0000_s6419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4127091" y="10899913"/>
              <a:ext cx="2879995" cy="75612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86926</xdr:colOff>
      <xdr:row>49</xdr:row>
      <xdr:rowOff>17477</xdr:rowOff>
    </xdr:from>
    <xdr:to>
      <xdr:col>5</xdr:col>
      <xdr:colOff>26833</xdr:colOff>
      <xdr:row>50</xdr:row>
      <xdr:rowOff>79514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DE8AF6F-37D9-4744-A634-9CEC1813688F}"/>
            </a:ext>
          </a:extLst>
        </xdr:cNvPr>
        <xdr:cNvSpPr txBox="1"/>
      </xdr:nvSpPr>
      <xdr:spPr>
        <a:xfrm>
          <a:off x="2144326" y="12247577"/>
          <a:ext cx="1311507" cy="300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◎試算条件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146212</xdr:colOff>
          <xdr:row>51</xdr:row>
          <xdr:rowOff>14835</xdr:rowOff>
        </xdr:from>
        <xdr:to>
          <xdr:col>9</xdr:col>
          <xdr:colOff>546422</xdr:colOff>
          <xdr:row>54</xdr:row>
          <xdr:rowOff>367820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C4191041-E2DE-4E68-B796-C27EAA42AEE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E$26:$H$29" spid="_x0000_s6420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2187283" y="13036871"/>
              <a:ext cx="4482353" cy="12102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141821</xdr:colOff>
          <xdr:row>54</xdr:row>
          <xdr:rowOff>600839</xdr:rowOff>
        </xdr:from>
        <xdr:to>
          <xdr:col>9</xdr:col>
          <xdr:colOff>561868</xdr:colOff>
          <xdr:row>55</xdr:row>
          <xdr:rowOff>53595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4E2447F5-09B9-47A5-B166-D1743E85358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Z$38:$AF$39" spid="_x0000_s6421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2204191" y="14250578"/>
              <a:ext cx="4544786" cy="42182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10</xdr:col>
      <xdr:colOff>1</xdr:colOff>
      <xdr:row>32</xdr:row>
      <xdr:rowOff>216776</xdr:rowOff>
    </xdr:from>
    <xdr:to>
      <xdr:col>10</xdr:col>
      <xdr:colOff>551795</xdr:colOff>
      <xdr:row>34</xdr:row>
      <xdr:rowOff>98534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C6D1BD-5667-49FC-9EF3-485954AD3919}"/>
            </a:ext>
          </a:extLst>
        </xdr:cNvPr>
        <xdr:cNvSpPr txBox="1"/>
      </xdr:nvSpPr>
      <xdr:spPr>
        <a:xfrm>
          <a:off x="6831725" y="8355724"/>
          <a:ext cx="551794" cy="354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月額</a:t>
          </a:r>
        </a:p>
      </xdr:txBody>
    </xdr:sp>
    <xdr:clientData/>
  </xdr:twoCellAnchor>
  <xdr:twoCellAnchor>
    <xdr:from>
      <xdr:col>10</xdr:col>
      <xdr:colOff>421729</xdr:colOff>
      <xdr:row>37</xdr:row>
      <xdr:rowOff>60434</xdr:rowOff>
    </xdr:from>
    <xdr:to>
      <xdr:col>11</xdr:col>
      <xdr:colOff>290350</xdr:colOff>
      <xdr:row>38</xdr:row>
      <xdr:rowOff>178675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8C56B41-69D7-42C3-8F5C-5923E7D48A2C}"/>
            </a:ext>
          </a:extLst>
        </xdr:cNvPr>
        <xdr:cNvSpPr txBox="1"/>
      </xdr:nvSpPr>
      <xdr:spPr>
        <a:xfrm>
          <a:off x="7253453" y="9381796"/>
          <a:ext cx="551794" cy="354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月額</a:t>
          </a:r>
        </a:p>
      </xdr:txBody>
    </xdr:sp>
    <xdr:clientData/>
  </xdr:twoCellAnchor>
  <xdr:twoCellAnchor>
    <xdr:from>
      <xdr:col>5</xdr:col>
      <xdr:colOff>330840</xdr:colOff>
      <xdr:row>43</xdr:row>
      <xdr:rowOff>238215</xdr:rowOff>
    </xdr:from>
    <xdr:to>
      <xdr:col>6</xdr:col>
      <xdr:colOff>199462</xdr:colOff>
      <xdr:row>45</xdr:row>
      <xdr:rowOff>113958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F5A1643-F231-40DA-A7CB-EB122C78FFB5}"/>
            </a:ext>
          </a:extLst>
        </xdr:cNvPr>
        <xdr:cNvSpPr txBox="1"/>
      </xdr:nvSpPr>
      <xdr:spPr>
        <a:xfrm>
          <a:off x="3774494" y="11177311"/>
          <a:ext cx="557353" cy="359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月額</a:t>
          </a:r>
        </a:p>
      </xdr:txBody>
    </xdr:sp>
    <xdr:clientData/>
  </xdr:twoCellAnchor>
  <xdr:twoCellAnchor>
    <xdr:from>
      <xdr:col>10</xdr:col>
      <xdr:colOff>474180</xdr:colOff>
      <xdr:row>49</xdr:row>
      <xdr:rowOff>17477</xdr:rowOff>
    </xdr:from>
    <xdr:to>
      <xdr:col>13</xdr:col>
      <xdr:colOff>1598130</xdr:colOff>
      <xdr:row>50</xdr:row>
      <xdr:rowOff>135718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05A28D8-5598-4E8C-AD4C-888EE4C90FDA}"/>
            </a:ext>
          </a:extLst>
        </xdr:cNvPr>
        <xdr:cNvSpPr txBox="1"/>
      </xdr:nvSpPr>
      <xdr:spPr>
        <a:xfrm>
          <a:off x="7332180" y="12247577"/>
          <a:ext cx="3181350" cy="35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◎月額ランニングコスト比較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33544</xdr:colOff>
          <xdr:row>29</xdr:row>
          <xdr:rowOff>71243</xdr:rowOff>
        </xdr:from>
        <xdr:to>
          <xdr:col>9</xdr:col>
          <xdr:colOff>124239</xdr:colOff>
          <xdr:row>33</xdr:row>
          <xdr:rowOff>19051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40643C09-15FE-4EBD-946B-F88CBD179D3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AI$43:$AJ$45" spid="_x0000_s6422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3470827" y="7591852"/>
              <a:ext cx="2840521" cy="90859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241056</xdr:colOff>
      <xdr:row>6</xdr:row>
      <xdr:rowOff>0</xdr:rowOff>
    </xdr:from>
    <xdr:to>
      <xdr:col>14</xdr:col>
      <xdr:colOff>1298331</xdr:colOff>
      <xdr:row>7</xdr:row>
      <xdr:rowOff>66675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69F2D2C1-B5AF-4ED3-BB53-4996DAC40D98}"/>
            </a:ext>
          </a:extLst>
        </xdr:cNvPr>
        <xdr:cNvSpPr/>
      </xdr:nvSpPr>
      <xdr:spPr>
        <a:xfrm>
          <a:off x="10835787" y="1436077"/>
          <a:ext cx="1057275" cy="308463"/>
        </a:xfrm>
        <a:prstGeom prst="rect">
          <a:avLst/>
        </a:prstGeom>
        <a:solidFill>
          <a:schemeClr val="bg1"/>
        </a:solidFill>
        <a:ln w="317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242108</xdr:colOff>
          <xdr:row>5</xdr:row>
          <xdr:rowOff>231985</xdr:rowOff>
        </xdr:from>
        <xdr:to>
          <xdr:col>14</xdr:col>
          <xdr:colOff>1355480</xdr:colOff>
          <xdr:row>7</xdr:row>
          <xdr:rowOff>91368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957BB771-F2C5-4D6E-AF84-580AF4B9A8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AN$52:$AP$52" spid="_x0000_s6423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0764432" y="1397397"/>
              <a:ext cx="1113372" cy="33003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oneCellAnchor>
    <xdr:from>
      <xdr:col>3</xdr:col>
      <xdr:colOff>102393</xdr:colOff>
      <xdr:row>54</xdr:row>
      <xdr:rowOff>326232</xdr:rowOff>
    </xdr:from>
    <xdr:ext cx="4192515" cy="24237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FDEF3FD-1836-4920-B446-C1D0E55E03A5}"/>
            </a:ext>
          </a:extLst>
        </xdr:cNvPr>
        <xdr:cNvSpPr txBox="1"/>
      </xdr:nvSpPr>
      <xdr:spPr>
        <a:xfrm>
          <a:off x="2180575" y="14076868"/>
          <a:ext cx="41925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6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600">
              <a:latin typeface="メイリオ" panose="020B0604030504040204" pitchFamily="50" charset="-128"/>
              <a:ea typeface="メイリオ" panose="020B0604030504040204" pitchFamily="50" charset="-128"/>
            </a:rPr>
            <a:t>既設照明器具が直管蛍光灯の場合、</a:t>
          </a:r>
          <a:r>
            <a:rPr kumimoji="1" lang="en-US" altLang="ja-JP" sz="600">
              <a:latin typeface="メイリオ" panose="020B0604030504040204" pitchFamily="50" charset="-128"/>
              <a:ea typeface="メイリオ" panose="020B0604030504040204" pitchFamily="50" charset="-128"/>
            </a:rPr>
            <a:t>My</a:t>
          </a:r>
          <a:r>
            <a:rPr kumimoji="1" lang="ja-JP" altLang="en-US" sz="600">
              <a:latin typeface="メイリオ" panose="020B0604030504040204" pitchFamily="50" charset="-128"/>
              <a:ea typeface="メイリオ" panose="020B0604030504040204" pitchFamily="50" charset="-128"/>
            </a:rPr>
            <a:t>シリーズ逆富士</a:t>
          </a:r>
          <a:r>
            <a:rPr kumimoji="1" lang="en-US" altLang="ja-JP" sz="600">
              <a:latin typeface="メイリオ" panose="020B0604030504040204" pitchFamily="50" charset="-128"/>
              <a:ea typeface="メイリオ" panose="020B0604030504040204" pitchFamily="50" charset="-128"/>
            </a:rPr>
            <a:t>230</a:t>
          </a:r>
          <a:r>
            <a:rPr kumimoji="1" lang="ja-JP" altLang="en-US" sz="600">
              <a:latin typeface="メイリオ" panose="020B0604030504040204" pitchFamily="50" charset="-128"/>
              <a:ea typeface="メイリオ" panose="020B0604030504040204" pitchFamily="50" charset="-128"/>
            </a:rPr>
            <a:t>幅タイプにて置換をしております。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14526</xdr:colOff>
      <xdr:row>0</xdr:row>
      <xdr:rowOff>0</xdr:rowOff>
    </xdr:from>
    <xdr:to>
      <xdr:col>16</xdr:col>
      <xdr:colOff>580</xdr:colOff>
      <xdr:row>60</xdr:row>
      <xdr:rowOff>231321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250580F-CF1B-4972-83E5-0790BDCB9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4526" y="0"/>
          <a:ext cx="12397129" cy="17071521"/>
        </a:xfrm>
        <a:prstGeom prst="rect">
          <a:avLst/>
        </a:prstGeom>
      </xdr:spPr>
    </xdr:pic>
    <xdr:clientData/>
  </xdr:twoCellAnchor>
  <xdr:twoCellAnchor>
    <xdr:from>
      <xdr:col>10</xdr:col>
      <xdr:colOff>68298</xdr:colOff>
      <xdr:row>49</xdr:row>
      <xdr:rowOff>145676</xdr:rowOff>
    </xdr:from>
    <xdr:to>
      <xdr:col>14</xdr:col>
      <xdr:colOff>38210</xdr:colOff>
      <xdr:row>58</xdr:row>
      <xdr:rowOff>1053353</xdr:rowOff>
    </xdr:to>
    <xdr:graphicFrame macro="">
      <xdr:nvGraphicFramePr>
        <xdr:cNvPr id="25" name="グラフ 24">
          <a:extLst>
            <a:ext uri="{FF2B5EF4-FFF2-40B4-BE49-F238E27FC236}">
              <a16:creationId xmlns:a16="http://schemas.microsoft.com/office/drawing/2014/main" id="{9B91A90D-9E83-4A8A-8A0B-4DD62BCF3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366057</xdr:colOff>
          <xdr:row>37</xdr:row>
          <xdr:rowOff>223630</xdr:rowOff>
        </xdr:from>
        <xdr:to>
          <xdr:col>8</xdr:col>
          <xdr:colOff>116341</xdr:colOff>
          <xdr:row>39</xdr:row>
          <xdr:rowOff>168770</xdr:rowOff>
        </xdr:to>
        <xdr:pic>
          <xdr:nvPicPr>
            <xdr:cNvPr id="33" name="図 32">
              <a:extLst>
                <a:ext uri="{FF2B5EF4-FFF2-40B4-BE49-F238E27FC236}">
                  <a16:creationId xmlns:a16="http://schemas.microsoft.com/office/drawing/2014/main" id="{E3F8BA63-353B-422F-B27D-71F57D20EB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D$10" spid="_x0000_s190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803340" y="9665804"/>
              <a:ext cx="1812653" cy="4255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418705</xdr:colOff>
          <xdr:row>36</xdr:row>
          <xdr:rowOff>210330</xdr:rowOff>
        </xdr:from>
        <xdr:to>
          <xdr:col>14</xdr:col>
          <xdr:colOff>109901</xdr:colOff>
          <xdr:row>37</xdr:row>
          <xdr:rowOff>157369</xdr:rowOff>
        </xdr:to>
        <xdr:pic>
          <xdr:nvPicPr>
            <xdr:cNvPr id="38" name="図 37">
              <a:extLst>
                <a:ext uri="{FF2B5EF4-FFF2-40B4-BE49-F238E27FC236}">
                  <a16:creationId xmlns:a16="http://schemas.microsoft.com/office/drawing/2014/main" id="{C71D2D93-A2B5-428A-B306-F35637582E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I$21:$K$21" spid="_x0000_s190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8668183" y="9412308"/>
              <a:ext cx="2018609" cy="1872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240196</xdr:colOff>
          <xdr:row>33</xdr:row>
          <xdr:rowOff>23152</xdr:rowOff>
        </xdr:from>
        <xdr:to>
          <xdr:col>13</xdr:col>
          <xdr:colOff>460457</xdr:colOff>
          <xdr:row>35</xdr:row>
          <xdr:rowOff>41349</xdr:rowOff>
        </xdr:to>
        <xdr:pic>
          <xdr:nvPicPr>
            <xdr:cNvPr id="39" name="図 38">
              <a:extLst>
                <a:ext uri="{FF2B5EF4-FFF2-40B4-BE49-F238E27FC236}">
                  <a16:creationId xmlns:a16="http://schemas.microsoft.com/office/drawing/2014/main" id="{63AF9EAB-E539-4627-A1E7-11A057D118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D$23" spid="_x0000_s190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114761" y="8504543"/>
              <a:ext cx="2282631" cy="49858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120019</xdr:colOff>
          <xdr:row>16</xdr:row>
          <xdr:rowOff>93889</xdr:rowOff>
        </xdr:from>
        <xdr:to>
          <xdr:col>9</xdr:col>
          <xdr:colOff>60898</xdr:colOff>
          <xdr:row>17</xdr:row>
          <xdr:rowOff>234278</xdr:rowOff>
        </xdr:to>
        <xdr:pic>
          <xdr:nvPicPr>
            <xdr:cNvPr id="52" name="図 51">
              <a:extLst>
                <a:ext uri="{FF2B5EF4-FFF2-40B4-BE49-F238E27FC236}">
                  <a16:creationId xmlns:a16="http://schemas.microsoft.com/office/drawing/2014/main" id="{081DBAFA-6CB6-4D31-BB95-299298682EA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R$4" spid="_x0000_s190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2170695" y="3993536"/>
              <a:ext cx="4042232" cy="3757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595805</xdr:colOff>
          <xdr:row>37</xdr:row>
          <xdr:rowOff>72214</xdr:rowOff>
        </xdr:from>
        <xdr:to>
          <xdr:col>13</xdr:col>
          <xdr:colOff>943402</xdr:colOff>
          <xdr:row>39</xdr:row>
          <xdr:rowOff>133212</xdr:rowOff>
        </xdr:to>
        <xdr:pic>
          <xdr:nvPicPr>
            <xdr:cNvPr id="54" name="図 53">
              <a:extLst>
                <a:ext uri="{FF2B5EF4-FFF2-40B4-BE49-F238E27FC236}">
                  <a16:creationId xmlns:a16="http://schemas.microsoft.com/office/drawing/2014/main" id="{5081CE6D-E4AF-4263-9B4D-3D446ECFC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D$7" spid="_x0000_s1904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7470370" y="9514388"/>
              <a:ext cx="2409967" cy="54138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97824</xdr:colOff>
          <xdr:row>43</xdr:row>
          <xdr:rowOff>59056</xdr:rowOff>
        </xdr:from>
        <xdr:to>
          <xdr:col>10</xdr:col>
          <xdr:colOff>125283</xdr:colOff>
          <xdr:row>46</xdr:row>
          <xdr:rowOff>115125</xdr:rowOff>
        </xdr:to>
        <xdr:pic>
          <xdr:nvPicPr>
            <xdr:cNvPr id="56" name="図 55">
              <a:extLst>
                <a:ext uri="{FF2B5EF4-FFF2-40B4-BE49-F238E27FC236}">
                  <a16:creationId xmlns:a16="http://schemas.microsoft.com/office/drawing/2014/main" id="{57316088-DE0D-429F-A931-D2FC345D63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F$16" spid="_x0000_s1905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4179967" y="11121663"/>
              <a:ext cx="2748887" cy="79085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360562</xdr:colOff>
          <xdr:row>29</xdr:row>
          <xdr:rowOff>191091</xdr:rowOff>
        </xdr:from>
        <xdr:to>
          <xdr:col>8</xdr:col>
          <xdr:colOff>651960</xdr:colOff>
          <xdr:row>33</xdr:row>
          <xdr:rowOff>30327</xdr:rowOff>
        </xdr:to>
        <xdr:pic>
          <xdr:nvPicPr>
            <xdr:cNvPr id="61" name="図 60">
              <a:extLst>
                <a:ext uri="{FF2B5EF4-FFF2-40B4-BE49-F238E27FC236}">
                  <a16:creationId xmlns:a16="http://schemas.microsoft.com/office/drawing/2014/main" id="{C04834B5-53A4-4AD3-82C8-F8518CC156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W$30:$X$32" spid="_x0000_s1906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3762348" y="7824698"/>
              <a:ext cx="2332469" cy="818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146212</xdr:colOff>
          <xdr:row>50</xdr:row>
          <xdr:rowOff>146720</xdr:rowOff>
        </xdr:from>
        <xdr:to>
          <xdr:col>10</xdr:col>
          <xdr:colOff>52181</xdr:colOff>
          <xdr:row>54</xdr:row>
          <xdr:rowOff>335013</xdr:rowOff>
        </xdr:to>
        <xdr:pic>
          <xdr:nvPicPr>
            <xdr:cNvPr id="62" name="図 61">
              <a:extLst>
                <a:ext uri="{FF2B5EF4-FFF2-40B4-BE49-F238E27FC236}">
                  <a16:creationId xmlns:a16="http://schemas.microsoft.com/office/drawing/2014/main" id="{5A442EE7-E917-4AE7-8BC3-48A15EBDC42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E$26:$H$29" spid="_x0000_s1907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2212404" y="12778335"/>
              <a:ext cx="4727085" cy="127267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141821</xdr:colOff>
          <xdr:row>54</xdr:row>
          <xdr:rowOff>748110</xdr:rowOff>
        </xdr:from>
        <xdr:to>
          <xdr:col>10</xdr:col>
          <xdr:colOff>75638</xdr:colOff>
          <xdr:row>55</xdr:row>
          <xdr:rowOff>217437</xdr:rowOff>
        </xdr:to>
        <xdr:pic>
          <xdr:nvPicPr>
            <xdr:cNvPr id="64" name="図 63">
              <a:extLst>
                <a:ext uri="{FF2B5EF4-FFF2-40B4-BE49-F238E27FC236}">
                  <a16:creationId xmlns:a16="http://schemas.microsoft.com/office/drawing/2014/main" id="{A25BA9FC-C442-423B-B0F9-8735095F995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Z$38:$AF$39" spid="_x0000_s1908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2199221" y="14292660"/>
              <a:ext cx="4734417" cy="44087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54430</xdr:colOff>
      <xdr:row>49</xdr:row>
      <xdr:rowOff>59828</xdr:rowOff>
    </xdr:from>
    <xdr:to>
      <xdr:col>4</xdr:col>
      <xdr:colOff>674694</xdr:colOff>
      <xdr:row>50</xdr:row>
      <xdr:rowOff>131470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838D3CA-A3A7-431C-ADEB-DBB2EF3DDDB6}"/>
            </a:ext>
          </a:extLst>
        </xdr:cNvPr>
        <xdr:cNvSpPr txBox="1"/>
      </xdr:nvSpPr>
      <xdr:spPr>
        <a:xfrm>
          <a:off x="2116800" y="12384350"/>
          <a:ext cx="1307720" cy="3118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◎試算条件</a:t>
          </a:r>
        </a:p>
      </xdr:txBody>
    </xdr:sp>
    <xdr:clientData/>
  </xdr:twoCellAnchor>
  <xdr:twoCellAnchor>
    <xdr:from>
      <xdr:col>9</xdr:col>
      <xdr:colOff>638337</xdr:colOff>
      <xdr:row>33</xdr:row>
      <xdr:rowOff>36739</xdr:rowOff>
    </xdr:from>
    <xdr:to>
      <xdr:col>10</xdr:col>
      <xdr:colOff>509774</xdr:colOff>
      <xdr:row>34</xdr:row>
      <xdr:rowOff>156622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D96C31-E4BA-4817-A1B1-984DB5A31E33}"/>
            </a:ext>
          </a:extLst>
        </xdr:cNvPr>
        <xdr:cNvSpPr txBox="1"/>
      </xdr:nvSpPr>
      <xdr:spPr>
        <a:xfrm>
          <a:off x="6810537" y="8456839"/>
          <a:ext cx="557237" cy="3580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月額</a:t>
          </a:r>
        </a:p>
      </xdr:txBody>
    </xdr:sp>
    <xdr:clientData/>
  </xdr:twoCellAnchor>
  <xdr:twoCellAnchor>
    <xdr:from>
      <xdr:col>10</xdr:col>
      <xdr:colOff>341608</xdr:colOff>
      <xdr:row>37</xdr:row>
      <xdr:rowOff>80422</xdr:rowOff>
    </xdr:from>
    <xdr:to>
      <xdr:col>11</xdr:col>
      <xdr:colOff>210229</xdr:colOff>
      <xdr:row>38</xdr:row>
      <xdr:rowOff>198663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CBFDE35-937A-41A1-8914-4EE9B56316E6}"/>
            </a:ext>
          </a:extLst>
        </xdr:cNvPr>
        <xdr:cNvSpPr txBox="1"/>
      </xdr:nvSpPr>
      <xdr:spPr>
        <a:xfrm>
          <a:off x="7199608" y="9453022"/>
          <a:ext cx="554421" cy="35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月額</a:t>
          </a:r>
        </a:p>
      </xdr:txBody>
    </xdr:sp>
    <xdr:clientData/>
  </xdr:twoCellAnchor>
  <xdr:twoCellAnchor>
    <xdr:from>
      <xdr:col>5</xdr:col>
      <xdr:colOff>288819</xdr:colOff>
      <xdr:row>44</xdr:row>
      <xdr:rowOff>1028</xdr:rowOff>
    </xdr:from>
    <xdr:to>
      <xdr:col>6</xdr:col>
      <xdr:colOff>157441</xdr:colOff>
      <xdr:row>45</xdr:row>
      <xdr:rowOff>114896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DE437D40-9932-4D53-9A1D-E9B723E0A9AF}"/>
            </a:ext>
          </a:extLst>
        </xdr:cNvPr>
        <xdr:cNvSpPr txBox="1"/>
      </xdr:nvSpPr>
      <xdr:spPr>
        <a:xfrm>
          <a:off x="3717819" y="11040503"/>
          <a:ext cx="554422" cy="3519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月額</a:t>
          </a:r>
        </a:p>
      </xdr:txBody>
    </xdr:sp>
    <xdr:clientData/>
  </xdr:twoCellAnchor>
  <xdr:twoCellAnchor>
    <xdr:from>
      <xdr:col>10</xdr:col>
      <xdr:colOff>441684</xdr:colOff>
      <xdr:row>49</xdr:row>
      <xdr:rowOff>59828</xdr:rowOff>
    </xdr:from>
    <xdr:to>
      <xdr:col>13</xdr:col>
      <xdr:colOff>1565634</xdr:colOff>
      <xdr:row>50</xdr:row>
      <xdr:rowOff>182941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CD9F2DBC-5CB5-4C41-A53A-1252BF2A6C53}"/>
            </a:ext>
          </a:extLst>
        </xdr:cNvPr>
        <xdr:cNvSpPr txBox="1"/>
      </xdr:nvSpPr>
      <xdr:spPr>
        <a:xfrm>
          <a:off x="7316249" y="12384350"/>
          <a:ext cx="3186320" cy="3633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◎月額ランニングコスト比較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103287</xdr:colOff>
          <xdr:row>29</xdr:row>
          <xdr:rowOff>127125</xdr:rowOff>
        </xdr:from>
        <xdr:to>
          <xdr:col>9</xdr:col>
          <xdr:colOff>49694</xdr:colOff>
          <xdr:row>33</xdr:row>
          <xdr:rowOff>40660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7FB4DF94-D978-403B-9C12-BDB0ABBD9F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AI$43:$AJ$45" spid="_x0000_s1909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3540570" y="7647734"/>
              <a:ext cx="2696233" cy="87431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215348</xdr:colOff>
      <xdr:row>6</xdr:row>
      <xdr:rowOff>1</xdr:rowOff>
    </xdr:from>
    <xdr:to>
      <xdr:col>14</xdr:col>
      <xdr:colOff>1274280</xdr:colOff>
      <xdr:row>7</xdr:row>
      <xdr:rowOff>63874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8C4EF060-C7E5-4EC7-AB01-7A9E266812FB}"/>
            </a:ext>
          </a:extLst>
        </xdr:cNvPr>
        <xdr:cNvSpPr/>
      </xdr:nvSpPr>
      <xdr:spPr>
        <a:xfrm>
          <a:off x="10792239" y="1432892"/>
          <a:ext cx="1058932" cy="304069"/>
        </a:xfrm>
        <a:prstGeom prst="rect">
          <a:avLst/>
        </a:prstGeom>
        <a:solidFill>
          <a:schemeClr val="bg1"/>
        </a:solidFill>
        <a:ln w="317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216400</xdr:colOff>
          <xdr:row>6</xdr:row>
          <xdr:rowOff>22973</xdr:rowOff>
        </xdr:from>
        <xdr:to>
          <xdr:col>14</xdr:col>
          <xdr:colOff>1331429</xdr:colOff>
          <xdr:row>7</xdr:row>
          <xdr:rowOff>114877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388F0478-226A-4F15-BF92-6CC13193017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示調整!$AN$52:$AP$52" spid="_x0000_s1910"/>
                </a:ext>
              </a:extLst>
            </xdr:cNvPicPr>
          </xdr:nvPicPr>
          <xdr:blipFill>
            <a:blip xmlns:r="http://schemas.openxmlformats.org/officeDocument/2006/relationships" r:embed="rId13"/>
            <a:srcRect/>
            <a:stretch>
              <a:fillRect/>
            </a:stretch>
          </xdr:blipFill>
          <xdr:spPr bwMode="auto">
            <a:xfrm>
              <a:off x="10793291" y="1455864"/>
              <a:ext cx="1115029" cy="332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oneCellAnchor>
    <xdr:from>
      <xdr:col>3</xdr:col>
      <xdr:colOff>69396</xdr:colOff>
      <xdr:row>54</xdr:row>
      <xdr:rowOff>281667</xdr:rowOff>
    </xdr:from>
    <xdr:ext cx="3513206" cy="242374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7BCAB6F-798E-4042-BB09-8E5F1C3A9437}"/>
            </a:ext>
          </a:extLst>
        </xdr:cNvPr>
        <xdr:cNvSpPr txBox="1"/>
      </xdr:nvSpPr>
      <xdr:spPr>
        <a:xfrm>
          <a:off x="2126796" y="13826217"/>
          <a:ext cx="3513206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6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600">
              <a:latin typeface="メイリオ" panose="020B0604030504040204" pitchFamily="50" charset="-128"/>
              <a:ea typeface="メイリオ" panose="020B0604030504040204" pitchFamily="50" charset="-128"/>
            </a:rPr>
            <a:t>既設照明器具が直管蛍光灯の場合、</a:t>
          </a:r>
          <a:r>
            <a:rPr kumimoji="1" lang="en-US" altLang="ja-JP" sz="600">
              <a:latin typeface="メイリオ" panose="020B0604030504040204" pitchFamily="50" charset="-128"/>
              <a:ea typeface="メイリオ" panose="020B0604030504040204" pitchFamily="50" charset="-128"/>
            </a:rPr>
            <a:t>My</a:t>
          </a:r>
          <a:r>
            <a:rPr kumimoji="1" lang="ja-JP" altLang="en-US" sz="600">
              <a:latin typeface="メイリオ" panose="020B0604030504040204" pitchFamily="50" charset="-128"/>
              <a:ea typeface="メイリオ" panose="020B0604030504040204" pitchFamily="50" charset="-128"/>
            </a:rPr>
            <a:t>シリーズ逆富士</a:t>
          </a:r>
          <a:r>
            <a:rPr kumimoji="1" lang="en-US" altLang="ja-JP" sz="600">
              <a:latin typeface="メイリオ" panose="020B0604030504040204" pitchFamily="50" charset="-128"/>
              <a:ea typeface="メイリオ" panose="020B0604030504040204" pitchFamily="50" charset="-128"/>
            </a:rPr>
            <a:t>230</a:t>
          </a:r>
          <a:r>
            <a:rPr kumimoji="1" lang="ja-JP" altLang="en-US" sz="600">
              <a:latin typeface="メイリオ" panose="020B0604030504040204" pitchFamily="50" charset="-128"/>
              <a:ea typeface="メイリオ" panose="020B0604030504040204" pitchFamily="50" charset="-128"/>
            </a:rPr>
            <a:t>幅タイプにて置換をしております。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666750</xdr:colOff>
      <xdr:row>40</xdr:row>
      <xdr:rowOff>190500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3275289-2547-4335-855D-35994CACA7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b="2391"/>
        <a:stretch/>
      </xdr:blipFill>
      <xdr:spPr>
        <a:xfrm>
          <a:off x="0" y="0"/>
          <a:ext cx="6901295" cy="988868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142876</xdr:colOff>
      <xdr:row>3</xdr:row>
      <xdr:rowOff>152400</xdr:rowOff>
    </xdr:from>
    <xdr:to>
      <xdr:col>36</xdr:col>
      <xdr:colOff>38100</xdr:colOff>
      <xdr:row>14</xdr:row>
      <xdr:rowOff>200025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7AA5427-B7E1-4C19-8E54-C9F7D32EC1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76200</xdr:rowOff>
    </xdr:from>
    <xdr:to>
      <xdr:col>7</xdr:col>
      <xdr:colOff>923925</xdr:colOff>
      <xdr:row>5</xdr:row>
      <xdr:rowOff>58806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9293F1AF-0B55-46B4-B0E6-9A85F9F78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1360714</xdr:colOff>
      <xdr:row>26</xdr:row>
      <xdr:rowOff>65314</xdr:rowOff>
    </xdr:from>
    <xdr:to>
      <xdr:col>5</xdr:col>
      <xdr:colOff>1576737</xdr:colOff>
      <xdr:row>26</xdr:row>
      <xdr:rowOff>271954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B6B15C9B-39B7-41D3-92FE-480F15440BE5}"/>
            </a:ext>
          </a:extLst>
        </xdr:cNvPr>
        <xdr:cNvSpPr/>
      </xdr:nvSpPr>
      <xdr:spPr>
        <a:xfrm>
          <a:off x="6629400" y="9323614"/>
          <a:ext cx="216023" cy="206640"/>
        </a:xfrm>
        <a:prstGeom prst="rightArrow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1360714</xdr:colOff>
      <xdr:row>27</xdr:row>
      <xdr:rowOff>59872</xdr:rowOff>
    </xdr:from>
    <xdr:to>
      <xdr:col>5</xdr:col>
      <xdr:colOff>1576737</xdr:colOff>
      <xdr:row>27</xdr:row>
      <xdr:rowOff>266512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724EE7E8-D934-49E8-AA8D-59A1C5CD8144}"/>
            </a:ext>
          </a:extLst>
        </xdr:cNvPr>
        <xdr:cNvSpPr/>
      </xdr:nvSpPr>
      <xdr:spPr>
        <a:xfrm>
          <a:off x="6629400" y="9644743"/>
          <a:ext cx="216023" cy="206640"/>
        </a:xfrm>
        <a:prstGeom prst="rightArrow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1360714</xdr:colOff>
      <xdr:row>28</xdr:row>
      <xdr:rowOff>59871</xdr:rowOff>
    </xdr:from>
    <xdr:to>
      <xdr:col>5</xdr:col>
      <xdr:colOff>1576737</xdr:colOff>
      <xdr:row>28</xdr:row>
      <xdr:rowOff>266511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FC1DF94B-4A69-4F7B-A76B-9556C65BF700}"/>
            </a:ext>
          </a:extLst>
        </xdr:cNvPr>
        <xdr:cNvSpPr/>
      </xdr:nvSpPr>
      <xdr:spPr>
        <a:xfrm>
          <a:off x="6629400" y="9971314"/>
          <a:ext cx="216023" cy="206640"/>
        </a:xfrm>
        <a:prstGeom prst="rightArrow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EB6C-ECFC-47D5-A30A-47719C310A97}">
  <sheetPr>
    <tabColor rgb="FFFFC000"/>
  </sheetPr>
  <dimension ref="A1:L25"/>
  <sheetViews>
    <sheetView tabSelected="1" zoomScaleNormal="100" workbookViewId="0">
      <selection activeCell="B12" sqref="B12"/>
    </sheetView>
  </sheetViews>
  <sheetFormatPr defaultRowHeight="18.75" x14ac:dyDescent="0.4"/>
  <cols>
    <col min="2" max="2" width="14.125" customWidth="1"/>
    <col min="3" max="3" width="15.25" customWidth="1"/>
    <col min="4" max="4" width="7" bestFit="1" customWidth="1"/>
    <col min="5" max="5" width="15.125" bestFit="1" customWidth="1"/>
    <col min="6" max="6" width="14.125" customWidth="1"/>
    <col min="7" max="7" width="8.375" style="17" bestFit="1" customWidth="1"/>
    <col min="8" max="8" width="22.5" bestFit="1" customWidth="1"/>
    <col min="9" max="9" width="20.25" bestFit="1" customWidth="1"/>
    <col min="10" max="10" width="12.5" customWidth="1"/>
    <col min="12" max="12" width="10.875" bestFit="1" customWidth="1"/>
  </cols>
  <sheetData>
    <row r="1" spans="1:12" x14ac:dyDescent="0.4">
      <c r="B1" t="s">
        <v>115</v>
      </c>
      <c r="D1" s="16"/>
    </row>
    <row r="2" spans="1:12" x14ac:dyDescent="0.4">
      <c r="B2" s="19" t="s">
        <v>13</v>
      </c>
      <c r="C2" s="20"/>
      <c r="D2" s="16"/>
      <c r="E2" s="103" t="s">
        <v>104</v>
      </c>
      <c r="F2" s="103"/>
      <c r="G2" s="103"/>
      <c r="H2" s="103"/>
    </row>
    <row r="3" spans="1:12" x14ac:dyDescent="0.4">
      <c r="B3" s="104" t="s">
        <v>93</v>
      </c>
      <c r="C3" s="105"/>
      <c r="D3" s="16"/>
      <c r="E3" s="98">
        <v>2021</v>
      </c>
      <c r="F3" s="97" t="s">
        <v>67</v>
      </c>
      <c r="G3" s="98">
        <v>1</v>
      </c>
      <c r="H3" s="97" t="s">
        <v>68</v>
      </c>
    </row>
    <row r="4" spans="1:12" x14ac:dyDescent="0.4">
      <c r="B4" s="23"/>
      <c r="C4" s="23"/>
      <c r="D4" s="16"/>
    </row>
    <row r="5" spans="1:12" x14ac:dyDescent="0.4">
      <c r="A5" t="s">
        <v>14</v>
      </c>
      <c r="D5" s="16"/>
      <c r="I5" s="54" t="s">
        <v>103</v>
      </c>
    </row>
    <row r="6" spans="1:12" x14ac:dyDescent="0.4">
      <c r="B6" s="103" t="s">
        <v>106</v>
      </c>
      <c r="C6" s="103"/>
      <c r="D6" s="16"/>
      <c r="E6" s="103" t="s">
        <v>107</v>
      </c>
      <c r="F6" s="103"/>
      <c r="H6" s="106" t="s">
        <v>108</v>
      </c>
      <c r="I6" s="107"/>
      <c r="J6" s="27" t="s">
        <v>35</v>
      </c>
    </row>
    <row r="7" spans="1:12" x14ac:dyDescent="0.4">
      <c r="B7" s="5" t="s">
        <v>11</v>
      </c>
      <c r="C7" s="28">
        <f>データ!Z14</f>
        <v>11330000</v>
      </c>
      <c r="D7" s="16"/>
      <c r="E7" s="5" t="s">
        <v>32</v>
      </c>
      <c r="F7" s="99" t="s">
        <v>98</v>
      </c>
      <c r="G7" s="17" t="s">
        <v>3</v>
      </c>
      <c r="H7" s="5" t="s">
        <v>109</v>
      </c>
      <c r="I7" s="101" t="s">
        <v>28</v>
      </c>
      <c r="J7" s="102">
        <v>100</v>
      </c>
      <c r="K7" s="17" t="s">
        <v>3</v>
      </c>
      <c r="L7" s="16" t="s">
        <v>1</v>
      </c>
    </row>
    <row r="8" spans="1:12" x14ac:dyDescent="0.4">
      <c r="B8" s="5" t="s">
        <v>12</v>
      </c>
      <c r="C8" s="101">
        <v>2000000</v>
      </c>
      <c r="D8" s="16" t="s">
        <v>1</v>
      </c>
      <c r="E8" s="5" t="s">
        <v>31</v>
      </c>
      <c r="F8" s="6">
        <f>データ!L5</f>
        <v>1.2999999999999999E-2</v>
      </c>
      <c r="H8" s="5" t="s">
        <v>110</v>
      </c>
      <c r="I8" s="101" t="s">
        <v>27</v>
      </c>
      <c r="J8" s="102">
        <v>20</v>
      </c>
      <c r="K8" s="17" t="s">
        <v>3</v>
      </c>
      <c r="L8" s="16" t="s">
        <v>1</v>
      </c>
    </row>
    <row r="9" spans="1:12" x14ac:dyDescent="0.4">
      <c r="B9" s="5" t="s">
        <v>72</v>
      </c>
      <c r="C9" s="100">
        <v>0.45</v>
      </c>
      <c r="D9" s="16" t="s">
        <v>1</v>
      </c>
      <c r="E9" s="5" t="s">
        <v>7</v>
      </c>
      <c r="F9" s="7">
        <f>データ!L8</f>
        <v>92300</v>
      </c>
      <c r="H9" s="5" t="s">
        <v>111</v>
      </c>
      <c r="I9" s="101" t="s">
        <v>15</v>
      </c>
      <c r="J9" s="102">
        <v>300</v>
      </c>
      <c r="K9" s="17" t="s">
        <v>3</v>
      </c>
      <c r="L9" s="16" t="s">
        <v>1</v>
      </c>
    </row>
    <row r="10" spans="1:12" x14ac:dyDescent="0.4">
      <c r="B10" s="5" t="s">
        <v>73</v>
      </c>
      <c r="C10" s="8">
        <f>(C7*C9)+C8</f>
        <v>7098500</v>
      </c>
      <c r="D10" s="16"/>
      <c r="E10" s="9"/>
      <c r="F10" s="32"/>
      <c r="H10" s="5" t="s">
        <v>42</v>
      </c>
      <c r="I10" s="101">
        <v>3000</v>
      </c>
      <c r="J10" s="42"/>
    </row>
    <row r="11" spans="1:12" x14ac:dyDescent="0.4">
      <c r="B11" s="5" t="s">
        <v>9</v>
      </c>
      <c r="C11" s="39">
        <f>表示調整!F13</f>
        <v>3.8589080787818495</v>
      </c>
      <c r="D11" s="16"/>
      <c r="E11" s="5" t="s">
        <v>44</v>
      </c>
      <c r="F11" s="7">
        <f>データ!M8</f>
        <v>9968400</v>
      </c>
      <c r="H11" s="5" t="s">
        <v>41</v>
      </c>
      <c r="I11" s="101">
        <v>27</v>
      </c>
      <c r="J11" s="42"/>
    </row>
    <row r="12" spans="1:12" x14ac:dyDescent="0.4">
      <c r="B12" s="9"/>
      <c r="C12" s="31"/>
      <c r="D12" s="16"/>
      <c r="E12" s="9"/>
      <c r="F12" s="32"/>
      <c r="H12" s="33"/>
      <c r="I12" s="34"/>
      <c r="J12" s="33"/>
    </row>
    <row r="13" spans="1:12" x14ac:dyDescent="0.4">
      <c r="B13" s="9"/>
      <c r="C13" s="31"/>
      <c r="D13" s="16"/>
      <c r="E13" s="9"/>
      <c r="F13" s="32"/>
      <c r="H13" s="35"/>
      <c r="I13" s="36"/>
      <c r="J13" s="35"/>
    </row>
    <row r="14" spans="1:12" x14ac:dyDescent="0.4">
      <c r="B14" s="9"/>
      <c r="C14" s="31"/>
      <c r="D14" s="16"/>
      <c r="H14" s="5" t="s">
        <v>112</v>
      </c>
      <c r="I14" s="28" t="str">
        <f>データ!U11</f>
        <v>MY-V910331N 2AHTN</v>
      </c>
      <c r="J14" s="5">
        <f>J7</f>
        <v>100</v>
      </c>
    </row>
    <row r="15" spans="1:12" x14ac:dyDescent="0.4">
      <c r="C15" s="2"/>
      <c r="D15" s="16"/>
      <c r="H15" s="5" t="s">
        <v>113</v>
      </c>
      <c r="I15" s="28" t="str">
        <f>データ!U12</f>
        <v>MY-V450331N AHTN</v>
      </c>
      <c r="J15" s="5">
        <f>J8</f>
        <v>20</v>
      </c>
    </row>
    <row r="16" spans="1:12" x14ac:dyDescent="0.4">
      <c r="D16" s="16"/>
      <c r="H16" s="5" t="s">
        <v>114</v>
      </c>
      <c r="I16" s="28" t="str">
        <f>データ!U13</f>
        <v>MY-V420331N AHTN</v>
      </c>
      <c r="J16" s="5">
        <f>J9</f>
        <v>300</v>
      </c>
    </row>
    <row r="17" spans="4:12" x14ac:dyDescent="0.4">
      <c r="H17" s="5" t="s">
        <v>59</v>
      </c>
      <c r="I17" s="28">
        <f>データ!O14</f>
        <v>98100</v>
      </c>
      <c r="J17" s="43">
        <f>I11*I17</f>
        <v>2648700</v>
      </c>
    </row>
    <row r="18" spans="4:12" x14ac:dyDescent="0.4">
      <c r="H18" s="5" t="s">
        <v>60</v>
      </c>
      <c r="I18" s="28">
        <f>データ!X14</f>
        <v>29970</v>
      </c>
      <c r="J18" s="43">
        <f>I11*I18</f>
        <v>809190</v>
      </c>
    </row>
    <row r="19" spans="4:12" x14ac:dyDescent="0.4">
      <c r="D19" s="9"/>
      <c r="H19" s="5" t="s">
        <v>45</v>
      </c>
      <c r="I19" s="28">
        <f>I17-I18</f>
        <v>68130</v>
      </c>
      <c r="J19" s="43">
        <f>I11*I19</f>
        <v>1839510</v>
      </c>
      <c r="L19" s="48"/>
    </row>
    <row r="20" spans="4:12" x14ac:dyDescent="0.4">
      <c r="H20" s="5" t="s">
        <v>46</v>
      </c>
      <c r="I20" s="28">
        <f>I19/12</f>
        <v>5677.5</v>
      </c>
      <c r="J20" s="44">
        <f>J19/12</f>
        <v>153292.5</v>
      </c>
    </row>
    <row r="21" spans="4:12" x14ac:dyDescent="0.4">
      <c r="H21" s="5" t="s">
        <v>56</v>
      </c>
      <c r="I21" s="28">
        <f>データ!T16</f>
        <v>152500</v>
      </c>
      <c r="J21" s="28"/>
    </row>
    <row r="22" spans="4:12" x14ac:dyDescent="0.4">
      <c r="H22" s="5" t="s">
        <v>57</v>
      </c>
      <c r="I22" s="28">
        <f>I21/12</f>
        <v>12708.333333333334</v>
      </c>
      <c r="J22" s="28"/>
    </row>
    <row r="23" spans="4:12" ht="37.5" customHeight="1" x14ac:dyDescent="0.4"/>
    <row r="24" spans="4:12" ht="37.5" customHeight="1" x14ac:dyDescent="0.4"/>
    <row r="25" spans="4:12" ht="37.5" customHeight="1" x14ac:dyDescent="0.4"/>
  </sheetData>
  <mergeCells count="5">
    <mergeCell ref="B6:C6"/>
    <mergeCell ref="E6:F6"/>
    <mergeCell ref="B3:C3"/>
    <mergeCell ref="H6:I6"/>
    <mergeCell ref="E2:H2"/>
  </mergeCells>
  <phoneticPr fontId="2"/>
  <pageMargins left="0.7" right="0.7" top="0.75" bottom="0.75" header="0.3" footer="0.3"/>
  <pageSetup paperSize="9" orientation="portrait" r:id="rId1"/>
  <ignoredErrors>
    <ignoredError sqref="I21" 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CD4B986-3C66-45E1-91B2-3DF0749DA360}">
          <x14:formula1>
            <xm:f>データ!$D$4:$D$8</xm:f>
          </x14:formula1>
          <xm:sqref>F7</xm:sqref>
        </x14:dataValidation>
        <x14:dataValidation type="list" allowBlank="1" showInputMessage="1" showErrorMessage="1" xr:uid="{D31C0F2F-2532-4546-8E76-92590DED0D5E}">
          <x14:formula1>
            <xm:f>データ!$B$11:$B$27</xm:f>
          </x14:formula1>
          <xm:sqref>I7:I9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3C779-7FD7-4BC7-AED7-345788488301}">
  <sheetPr>
    <tabColor theme="8" tint="-0.249977111117893"/>
    <pageSetUpPr fitToPage="1"/>
  </sheetPr>
  <dimension ref="A1:N59"/>
  <sheetViews>
    <sheetView showGridLines="0" view="pageBreakPreview" topLeftCell="A41" zoomScale="55" zoomScaleNormal="55" zoomScaleSheetLayoutView="55" workbookViewId="0">
      <selection activeCell="W40" sqref="W40"/>
    </sheetView>
  </sheetViews>
  <sheetFormatPr defaultRowHeight="18.75" x14ac:dyDescent="0.4"/>
  <cols>
    <col min="14" max="14" width="21.5" customWidth="1"/>
    <col min="15" max="15" width="21.875" customWidth="1"/>
    <col min="16" max="16" width="3.375" customWidth="1"/>
    <col min="17" max="17" width="7.25" customWidth="1"/>
  </cols>
  <sheetData>
    <row r="1" spans="1:14" x14ac:dyDescent="0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" customHeight="1" x14ac:dyDescent="0.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1"/>
      <c r="N12" s="11"/>
    </row>
    <row r="13" spans="1:14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</row>
    <row r="14" spans="1:14" ht="30" x14ac:dyDescent="0.4">
      <c r="A14" s="12"/>
      <c r="B14" s="13"/>
      <c r="C14" s="13"/>
      <c r="D14" s="13"/>
      <c r="E14" s="13"/>
      <c r="F14" s="13"/>
      <c r="G14" s="13"/>
      <c r="H14" s="13"/>
      <c r="I14" s="14"/>
      <c r="J14" s="13"/>
      <c r="K14" s="14"/>
      <c r="L14" s="14"/>
      <c r="M14" s="11"/>
      <c r="N14" s="11"/>
    </row>
    <row r="15" spans="1:14" x14ac:dyDescent="0.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30" x14ac:dyDescent="0.4">
      <c r="A18" s="11"/>
      <c r="B18" s="11"/>
      <c r="C18" s="11"/>
      <c r="D18" s="11"/>
      <c r="E18" s="11"/>
      <c r="F18" s="13"/>
      <c r="G18" s="11"/>
      <c r="H18" s="13"/>
      <c r="I18" s="11"/>
      <c r="J18" s="13"/>
      <c r="K18" s="11"/>
      <c r="L18" s="11"/>
      <c r="M18" s="11"/>
      <c r="N18" s="11"/>
    </row>
    <row r="19" spans="1:14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30" x14ac:dyDescent="0.4">
      <c r="A25" s="11"/>
      <c r="B25" s="13"/>
      <c r="C25" s="13"/>
      <c r="D25" s="13"/>
      <c r="E25" s="13"/>
      <c r="F25" s="13"/>
      <c r="G25" s="13"/>
      <c r="H25" s="13"/>
      <c r="I25" s="14"/>
      <c r="J25" s="13"/>
      <c r="K25" s="14"/>
      <c r="L25" s="14"/>
      <c r="M25" s="11"/>
      <c r="N25" s="11"/>
    </row>
    <row r="26" spans="1:14" ht="30" x14ac:dyDescent="0.4">
      <c r="A26" s="11"/>
      <c r="B26" s="11"/>
      <c r="C26" s="11"/>
      <c r="D26" s="11"/>
      <c r="E26" s="13"/>
      <c r="F26" s="11"/>
      <c r="G26" s="11"/>
      <c r="H26" s="11"/>
      <c r="I26" s="11"/>
      <c r="J26" s="11"/>
      <c r="K26" s="13"/>
      <c r="L26" s="11"/>
      <c r="M26" s="11"/>
      <c r="N26" s="11"/>
    </row>
    <row r="27" spans="1:14" x14ac:dyDescent="0.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x14ac:dyDescent="0.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x14ac:dyDescent="0.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4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 x14ac:dyDescent="0.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x14ac:dyDescent="0.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x14ac:dyDescent="0.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54" ht="28.5" customHeight="1" x14ac:dyDescent="0.4"/>
    <row r="55" ht="76.5" customHeight="1" x14ac:dyDescent="0.4"/>
    <row r="59" ht="108" customHeight="1" x14ac:dyDescent="0.4"/>
  </sheetData>
  <phoneticPr fontId="2"/>
  <printOptions horizontalCentered="1" verticalCentered="1"/>
  <pageMargins left="0" right="0" top="0" bottom="0" header="0" footer="0"/>
  <pageSetup paperSize="9" scale="60" orientation="portrait" r:id="rId1"/>
  <colBreaks count="1" manualBreakCount="1">
    <brk id="27" max="77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25CA0-701D-4DDD-B9F7-39B3C206C43F}">
  <sheetPr>
    <tabColor rgb="FF7030A0"/>
    <pageSetUpPr fitToPage="1"/>
  </sheetPr>
  <dimension ref="A1:N59"/>
  <sheetViews>
    <sheetView showGridLines="0" view="pageBreakPreview" zoomScale="10" zoomScaleNormal="55" zoomScaleSheetLayoutView="10" workbookViewId="0">
      <selection activeCell="R149" sqref="R149"/>
    </sheetView>
  </sheetViews>
  <sheetFormatPr defaultRowHeight="18.75" x14ac:dyDescent="0.4"/>
  <cols>
    <col min="14" max="14" width="21.5" customWidth="1"/>
    <col min="15" max="15" width="21" customWidth="1"/>
    <col min="16" max="16" width="3.375" customWidth="1"/>
    <col min="17" max="17" width="7.25" customWidth="1"/>
  </cols>
  <sheetData>
    <row r="1" spans="1:14" x14ac:dyDescent="0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" customHeight="1" x14ac:dyDescent="0.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1"/>
      <c r="N12" s="11"/>
    </row>
    <row r="13" spans="1:14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</row>
    <row r="14" spans="1:14" ht="30" x14ac:dyDescent="0.4">
      <c r="A14" s="12"/>
      <c r="B14" s="13"/>
      <c r="C14" s="13"/>
      <c r="D14" s="13"/>
      <c r="E14" s="13"/>
      <c r="F14" s="13"/>
      <c r="G14" s="13"/>
      <c r="H14" s="13"/>
      <c r="I14" s="14"/>
      <c r="J14" s="13"/>
      <c r="K14" s="14"/>
      <c r="L14" s="14"/>
      <c r="M14" s="11"/>
      <c r="N14" s="11"/>
    </row>
    <row r="15" spans="1:14" x14ac:dyDescent="0.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30" x14ac:dyDescent="0.4">
      <c r="A18" s="11"/>
      <c r="B18" s="11"/>
      <c r="C18" s="11"/>
      <c r="D18" s="11"/>
      <c r="E18" s="11"/>
      <c r="F18" s="13"/>
      <c r="G18" s="11"/>
      <c r="H18" s="13"/>
      <c r="I18" s="11"/>
      <c r="J18" s="13"/>
      <c r="K18" s="11"/>
      <c r="L18" s="11"/>
      <c r="M18" s="11"/>
      <c r="N18" s="11"/>
    </row>
    <row r="19" spans="1:14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30" x14ac:dyDescent="0.4">
      <c r="A25" s="11"/>
      <c r="B25" s="13"/>
      <c r="C25" s="13"/>
      <c r="D25" s="13"/>
      <c r="E25" s="13"/>
      <c r="F25" s="13"/>
      <c r="G25" s="13"/>
      <c r="H25" s="13"/>
      <c r="I25" s="14"/>
      <c r="J25" s="13"/>
      <c r="K25" s="14"/>
      <c r="L25" s="14"/>
      <c r="M25" s="11"/>
      <c r="N25" s="11"/>
    </row>
    <row r="26" spans="1:14" ht="30" x14ac:dyDescent="0.4">
      <c r="A26" s="11"/>
      <c r="B26" s="11"/>
      <c r="C26" s="11"/>
      <c r="D26" s="11"/>
      <c r="E26" s="13"/>
      <c r="F26" s="11"/>
      <c r="G26" s="11"/>
      <c r="H26" s="11"/>
      <c r="I26" s="11"/>
      <c r="J26" s="11"/>
      <c r="K26" s="13"/>
      <c r="L26" s="11"/>
      <c r="M26" s="11"/>
      <c r="N26" s="11"/>
    </row>
    <row r="27" spans="1:14" x14ac:dyDescent="0.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x14ac:dyDescent="0.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x14ac:dyDescent="0.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4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 x14ac:dyDescent="0.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x14ac:dyDescent="0.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x14ac:dyDescent="0.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54" ht="28.5" customHeight="1" x14ac:dyDescent="0.4"/>
    <row r="55" ht="76.5" customHeight="1" x14ac:dyDescent="0.4"/>
    <row r="59" ht="108" customHeight="1" x14ac:dyDescent="0.4"/>
  </sheetData>
  <phoneticPr fontId="2"/>
  <printOptions horizontalCentered="1" verticalCentered="1"/>
  <pageMargins left="0" right="0" top="0" bottom="0" header="0" footer="0"/>
  <pageSetup paperSize="9" scale="59" orientation="portrait" r:id="rId1"/>
  <colBreaks count="1" manualBreakCount="1">
    <brk id="27" max="77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94D6-AEF2-48AE-9645-A8190B03E5EE}">
  <sheetPr>
    <tabColor rgb="FF7030A0"/>
  </sheetPr>
  <dimension ref="A43"/>
  <sheetViews>
    <sheetView view="pageBreakPreview" topLeftCell="A31" zoomScaleNormal="55" zoomScaleSheetLayoutView="100" workbookViewId="0">
      <selection activeCell="L22" sqref="L22"/>
    </sheetView>
  </sheetViews>
  <sheetFormatPr defaultRowHeight="18.75" x14ac:dyDescent="0.4"/>
  <sheetData>
    <row r="43" ht="13.5" customHeight="1" x14ac:dyDescent="0.4"/>
  </sheetData>
  <phoneticPr fontId="2"/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38A8-2B87-43E1-A988-1378C848DDF6}">
  <dimension ref="B1:AC27"/>
  <sheetViews>
    <sheetView zoomScale="70" zoomScaleNormal="70" workbookViewId="0">
      <selection activeCell="G18" sqref="G18"/>
    </sheetView>
  </sheetViews>
  <sheetFormatPr defaultRowHeight="18.75" x14ac:dyDescent="0.4"/>
  <cols>
    <col min="2" max="2" width="19.25" customWidth="1"/>
    <col min="4" max="4" width="20.125" bestFit="1" customWidth="1"/>
    <col min="5" max="5" width="12" customWidth="1"/>
    <col min="6" max="6" width="7.5" bestFit="1" customWidth="1"/>
    <col min="7" max="7" width="7.125" bestFit="1" customWidth="1"/>
    <col min="8" max="8" width="11.375" style="2" customWidth="1"/>
    <col min="9" max="10" width="4.375" customWidth="1"/>
    <col min="12" max="12" width="17" customWidth="1"/>
    <col min="13" max="13" width="12" customWidth="1"/>
    <col min="14" max="14" width="13.25" customWidth="1"/>
    <col min="16" max="16" width="12.25" customWidth="1"/>
    <col min="17" max="17" width="9.375" bestFit="1" customWidth="1"/>
    <col min="18" max="18" width="9.5" bestFit="1" customWidth="1"/>
    <col min="20" max="20" width="11.5" bestFit="1" customWidth="1"/>
    <col min="21" max="21" width="9.875" bestFit="1" customWidth="1"/>
    <col min="22" max="22" width="10.125" bestFit="1" customWidth="1"/>
    <col min="23" max="23" width="9.5" bestFit="1" customWidth="1"/>
    <col min="24" max="24" width="10.5" bestFit="1" customWidth="1"/>
    <col min="25" max="25" width="11" bestFit="1" customWidth="1"/>
    <col min="26" max="26" width="17.25" customWidth="1"/>
    <col min="31" max="31" width="9.375" bestFit="1" customWidth="1"/>
  </cols>
  <sheetData>
    <row r="1" spans="2:29" x14ac:dyDescent="0.4">
      <c r="D1" s="41" t="s">
        <v>47</v>
      </c>
      <c r="E1" s="22"/>
      <c r="F1" s="22"/>
      <c r="G1" s="22"/>
      <c r="H1" s="49"/>
      <c r="I1" s="22"/>
      <c r="J1" s="22"/>
    </row>
    <row r="2" spans="2:29" x14ac:dyDescent="0.4">
      <c r="D2" s="5" t="s">
        <v>0</v>
      </c>
      <c r="E2" s="21"/>
      <c r="F2" s="29"/>
      <c r="G2" s="29"/>
      <c r="H2" s="50"/>
      <c r="I2" s="29"/>
      <c r="J2" s="29"/>
      <c r="M2" s="41" t="s">
        <v>50</v>
      </c>
    </row>
    <row r="3" spans="2:29" x14ac:dyDescent="0.4">
      <c r="D3" s="5"/>
      <c r="E3" s="21"/>
      <c r="F3" s="29"/>
      <c r="G3" s="29"/>
      <c r="H3" s="50"/>
      <c r="I3" s="29"/>
      <c r="J3" s="29"/>
      <c r="K3" s="3"/>
      <c r="L3" s="4"/>
      <c r="M3" s="4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</row>
    <row r="4" spans="2:29" x14ac:dyDescent="0.4">
      <c r="D4" s="5" t="s">
        <v>94</v>
      </c>
      <c r="E4" s="6">
        <v>2.7E-2</v>
      </c>
      <c r="F4">
        <v>4</v>
      </c>
      <c r="G4">
        <f>F4*12</f>
        <v>48</v>
      </c>
      <c r="H4" s="2">
        <f>$L$8*G4</f>
        <v>4430400</v>
      </c>
      <c r="I4" s="30"/>
      <c r="J4" s="3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2:29" x14ac:dyDescent="0.4">
      <c r="B5" s="41" t="s">
        <v>61</v>
      </c>
      <c r="D5" s="18" t="s">
        <v>95</v>
      </c>
      <c r="E5" s="6">
        <v>2.3E-2</v>
      </c>
      <c r="F5">
        <v>5</v>
      </c>
      <c r="G5">
        <f>F5*12</f>
        <v>60</v>
      </c>
      <c r="H5" s="2">
        <f>$L$8*G5</f>
        <v>5538000</v>
      </c>
      <c r="I5" s="30"/>
      <c r="J5" s="30"/>
      <c r="L5" s="4">
        <f>VLOOKUP(入力シート!F7,データ!$D$4:$E$8,2,0)</f>
        <v>1.2999999999999999E-2</v>
      </c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2:29" x14ac:dyDescent="0.4">
      <c r="B6" s="10">
        <f>入力シート!I19*入力シート!I11</f>
        <v>1839510</v>
      </c>
      <c r="D6" s="18" t="s">
        <v>96</v>
      </c>
      <c r="E6" s="6">
        <v>0.02</v>
      </c>
      <c r="F6">
        <v>6</v>
      </c>
      <c r="G6">
        <f>F6*12</f>
        <v>72</v>
      </c>
      <c r="H6" s="2">
        <f>$L$8*G6</f>
        <v>6645600</v>
      </c>
      <c r="I6" s="30"/>
      <c r="J6" s="3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2:29" x14ac:dyDescent="0.4">
      <c r="D7" s="18" t="s">
        <v>97</v>
      </c>
      <c r="E7" s="6">
        <v>1.7999999999999999E-2</v>
      </c>
      <c r="F7">
        <v>7</v>
      </c>
      <c r="G7">
        <f>F7*12</f>
        <v>84</v>
      </c>
      <c r="H7" s="2">
        <f>$L$8*G7</f>
        <v>7753200</v>
      </c>
      <c r="I7" s="30"/>
      <c r="J7" s="30"/>
      <c r="L7" t="s">
        <v>7</v>
      </c>
      <c r="M7" t="s">
        <v>44</v>
      </c>
      <c r="U7" s="10"/>
    </row>
    <row r="8" spans="2:29" x14ac:dyDescent="0.4">
      <c r="D8" s="18" t="s">
        <v>98</v>
      </c>
      <c r="E8" s="6">
        <v>1.2999999999999999E-2</v>
      </c>
      <c r="F8">
        <v>9</v>
      </c>
      <c r="G8">
        <f>F8*12</f>
        <v>108</v>
      </c>
      <c r="H8" s="2">
        <f>$L$8*G8</f>
        <v>9968400</v>
      </c>
      <c r="I8" s="30"/>
      <c r="J8" s="30"/>
      <c r="L8" s="2">
        <f>ROUNDUP(入力シート!C10*データ!L5,-2)</f>
        <v>92300</v>
      </c>
      <c r="M8" s="2">
        <f>VLOOKUP(入力シート!F7,データ!$D$4:$G$8,4,0)*L8</f>
        <v>9968400</v>
      </c>
    </row>
    <row r="9" spans="2:29" x14ac:dyDescent="0.4">
      <c r="D9" s="40" t="s">
        <v>48</v>
      </c>
      <c r="K9" s="41" t="s">
        <v>49</v>
      </c>
    </row>
    <row r="10" spans="2:29" x14ac:dyDescent="0.4">
      <c r="B10" s="5"/>
      <c r="C10" s="5" t="s">
        <v>30</v>
      </c>
      <c r="D10" s="45" t="s">
        <v>33</v>
      </c>
      <c r="E10" s="46" t="s">
        <v>34</v>
      </c>
      <c r="F10" s="46" t="s">
        <v>53</v>
      </c>
      <c r="G10" s="46" t="s">
        <v>54</v>
      </c>
      <c r="H10" s="28" t="s">
        <v>70</v>
      </c>
      <c r="I10" s="24"/>
      <c r="J10" s="24"/>
      <c r="K10" s="5" t="s">
        <v>39</v>
      </c>
      <c r="L10" s="5" t="s">
        <v>5</v>
      </c>
      <c r="M10" s="5" t="s">
        <v>5</v>
      </c>
      <c r="N10" s="5" t="s">
        <v>5</v>
      </c>
      <c r="O10" s="5" t="s">
        <v>5</v>
      </c>
      <c r="P10" s="5" t="s">
        <v>65</v>
      </c>
      <c r="Q10" s="5" t="s">
        <v>92</v>
      </c>
      <c r="R10" s="5" t="s">
        <v>55</v>
      </c>
      <c r="S10" s="5" t="s">
        <v>99</v>
      </c>
      <c r="T10" s="5"/>
      <c r="U10" s="5" t="s">
        <v>40</v>
      </c>
      <c r="V10" s="5" t="s">
        <v>40</v>
      </c>
      <c r="W10" s="5" t="s">
        <v>40</v>
      </c>
      <c r="X10" s="5" t="s">
        <v>40</v>
      </c>
      <c r="Y10" s="5" t="s">
        <v>66</v>
      </c>
      <c r="Z10" s="51" t="s">
        <v>71</v>
      </c>
    </row>
    <row r="11" spans="2:29" x14ac:dyDescent="0.4">
      <c r="B11" s="5" t="s">
        <v>22</v>
      </c>
      <c r="C11" s="5">
        <v>28</v>
      </c>
      <c r="D11" s="45" t="s">
        <v>124</v>
      </c>
      <c r="E11" s="47">
        <v>5.8</v>
      </c>
      <c r="F11" s="28">
        <v>8000</v>
      </c>
      <c r="G11" s="28">
        <v>250</v>
      </c>
      <c r="H11" s="28">
        <v>12200</v>
      </c>
      <c r="I11" s="25"/>
      <c r="J11" s="25"/>
      <c r="K11" s="5" t="s">
        <v>36</v>
      </c>
      <c r="L11" s="38" t="str">
        <f>IFERROR(入力シート!I7,"")</f>
        <v>FLR110W×2灯</v>
      </c>
      <c r="M11" s="39">
        <f>IFERROR(VLOOKUP(入力シート!I7,データ!$B$10:$E$27,2,0),"0")</f>
        <v>187</v>
      </c>
      <c r="N11" s="39">
        <f>IFERROR(M11*入力シート!J7,"")</f>
        <v>18700</v>
      </c>
      <c r="O11" s="8">
        <f>IFERROR(N11*入力シート!I$10/1000,"")</f>
        <v>56100</v>
      </c>
      <c r="P11" s="8">
        <f>O11*入力シート!$I$11</f>
        <v>1514700</v>
      </c>
      <c r="Q11" s="8">
        <f>IFERROR(VLOOKUP($L11,$B$11:$H$27,5,0),"")</f>
        <v>12000</v>
      </c>
      <c r="R11" s="39">
        <f>IFERROR(入力シート!$I$10/データ!Q11*入力シート!J7,"")</f>
        <v>25</v>
      </c>
      <c r="S11" s="8">
        <f>IFERROR(VLOOKUP($L11,$B$11:$H$27,6,0),"")</f>
        <v>4400</v>
      </c>
      <c r="T11" s="8">
        <f>IFERROR(S11*R11,"")</f>
        <v>110000</v>
      </c>
      <c r="U11" s="5" t="str">
        <f>IFERROR(VLOOKUP(入力シート!I7,データ!$B$10:$E$27,3,0),"")</f>
        <v>MY-V910331N 2AHTN</v>
      </c>
      <c r="V11" s="5">
        <f>IFERROR(VLOOKUP(入力シート!I7,データ!$B$10:$E$27,4,0),"")</f>
        <v>52.6</v>
      </c>
      <c r="W11" s="8">
        <f>IFERROR(V11*入力シート!J14,"")</f>
        <v>5260</v>
      </c>
      <c r="X11" s="8">
        <f>IFERROR(W11*入力シート!I$10/1000,"")</f>
        <v>15780</v>
      </c>
      <c r="Y11" s="8">
        <f>IFERROR(X11*入力シート!$I$11,"")</f>
        <v>426060</v>
      </c>
      <c r="Z11" s="8">
        <f>IFERROR(VLOOKUP(入力シート!I7,データ!$B$10:$H$27,7,0)*入力シート!J7,"")</f>
        <v>4790000</v>
      </c>
    </row>
    <row r="12" spans="2:29" x14ac:dyDescent="0.4">
      <c r="B12" s="5" t="s">
        <v>24</v>
      </c>
      <c r="C12" s="5">
        <v>56</v>
      </c>
      <c r="D12" s="45" t="s">
        <v>125</v>
      </c>
      <c r="E12" s="39">
        <v>11.2</v>
      </c>
      <c r="F12" s="28">
        <v>8000</v>
      </c>
      <c r="G12" s="8">
        <v>500</v>
      </c>
      <c r="H12" s="8">
        <v>16200</v>
      </c>
      <c r="I12" s="26"/>
      <c r="J12" s="26"/>
      <c r="K12" s="5" t="s">
        <v>37</v>
      </c>
      <c r="L12" s="38" t="str">
        <f>IFERROR(入力シート!I8,"")</f>
        <v>FHF32W×2灯</v>
      </c>
      <c r="M12" s="39">
        <f>IFERROR(VLOOKUP(入力シート!I8,データ!$B$10:$E$27,2,0),"0")</f>
        <v>70</v>
      </c>
      <c r="N12" s="39">
        <f>IFERROR(M12*入力シート!J8,"")</f>
        <v>1400</v>
      </c>
      <c r="O12" s="8">
        <f>IFERROR(N12*入力シート!I$10/1000,"")</f>
        <v>4200</v>
      </c>
      <c r="P12" s="8">
        <f>O12*入力シート!$I$11</f>
        <v>113400</v>
      </c>
      <c r="Q12" s="8">
        <f t="shared" ref="Q12:Q13" si="0">IFERROR(VLOOKUP($L12,$B$11:$H$27,5,0),"")</f>
        <v>12000</v>
      </c>
      <c r="R12" s="39">
        <f>IFERROR(入力シート!$I$10/データ!Q12*入力シート!J8,"")</f>
        <v>5</v>
      </c>
      <c r="S12" s="8">
        <f t="shared" ref="S12:S13" si="1">IFERROR(VLOOKUP($L12,$B$11:$H$27,6,0),"")</f>
        <v>2200</v>
      </c>
      <c r="T12" s="8">
        <f t="shared" ref="T12:T13" si="2">IFERROR(S12*R12,"")</f>
        <v>11000</v>
      </c>
      <c r="U12" s="5" t="str">
        <f>IFERROR(VLOOKUP(入力シート!I8,データ!$B$10:$E$27,3,0),"")</f>
        <v>MY-V450331N AHTN</v>
      </c>
      <c r="V12" s="5">
        <f>IFERROR(VLOOKUP(入力シート!I8,データ!$B$10:$E$27,4,0),"")</f>
        <v>32.5</v>
      </c>
      <c r="W12" s="8">
        <f>IFERROR(V12*入力シート!J15,"")</f>
        <v>650</v>
      </c>
      <c r="X12" s="8">
        <f>IFERROR(W12*入力シート!I$10/1000,"")</f>
        <v>1950</v>
      </c>
      <c r="Y12" s="8">
        <f>IFERROR(X12*入力シート!$I$11,"")</f>
        <v>52650</v>
      </c>
      <c r="Z12" s="8">
        <f>IFERROR(VLOOKUP(入力シート!I8,データ!$B$10:$H$27,7,0)*入力シート!J8,"")</f>
        <v>480000</v>
      </c>
    </row>
    <row r="13" spans="2:29" x14ac:dyDescent="0.4">
      <c r="B13" s="5" t="s">
        <v>23</v>
      </c>
      <c r="C13" s="5">
        <v>38</v>
      </c>
      <c r="D13" s="45" t="s">
        <v>125</v>
      </c>
      <c r="E13" s="39">
        <v>11.4</v>
      </c>
      <c r="F13" s="8">
        <v>8500</v>
      </c>
      <c r="G13" s="8">
        <v>550</v>
      </c>
      <c r="H13" s="28">
        <v>16200</v>
      </c>
      <c r="I13" s="26"/>
      <c r="J13" s="26"/>
      <c r="K13" s="5" t="s">
        <v>38</v>
      </c>
      <c r="L13" s="38" t="str">
        <f>IFERROR(入力シート!I9,"")</f>
        <v>FLR40W×1灯</v>
      </c>
      <c r="M13" s="39">
        <f>IFERROR(VLOOKUP(入力シート!I9,データ!$B$10:$E$27,2,0),"0")</f>
        <v>42</v>
      </c>
      <c r="N13" s="39">
        <f>IFERROR(M13*入力シート!J9,"")</f>
        <v>12600</v>
      </c>
      <c r="O13" s="8">
        <f>IFERROR(N13*入力シート!I$10/1000,"")</f>
        <v>37800</v>
      </c>
      <c r="P13" s="8">
        <f>O13*入力シート!$I$11</f>
        <v>1020600</v>
      </c>
      <c r="Q13" s="8">
        <f t="shared" si="0"/>
        <v>12000</v>
      </c>
      <c r="R13" s="39">
        <f>IFERROR(入力シート!$I$10/データ!Q13*入力シート!J9,"")</f>
        <v>75</v>
      </c>
      <c r="S13" s="8">
        <f t="shared" si="1"/>
        <v>420</v>
      </c>
      <c r="T13" s="8">
        <f t="shared" si="2"/>
        <v>31500</v>
      </c>
      <c r="U13" s="5" t="str">
        <f>IFERROR(VLOOKUP(入力シート!I9,データ!$B$10:$E$27,3,0),"")</f>
        <v>MY-V420331N AHTN</v>
      </c>
      <c r="V13" s="5">
        <f>IFERROR(VLOOKUP(入力シート!I9,データ!$B$10:$E$27,4,0),"")</f>
        <v>13.6</v>
      </c>
      <c r="W13" s="8">
        <f>IFERROR(V13*入力シート!J16,"")</f>
        <v>4080</v>
      </c>
      <c r="X13" s="8">
        <f>IFERROR(W13*入力シート!I$10/1000,"")</f>
        <v>12240</v>
      </c>
      <c r="Y13" s="8">
        <f>IFERROR(X13*入力シート!$I$11,"")</f>
        <v>330480</v>
      </c>
      <c r="Z13" s="8">
        <f>IFERROR(VLOOKUP(入力シート!I9,データ!$B$10:$H$27,7,0)*入力シート!J9,"")</f>
        <v>6060000</v>
      </c>
    </row>
    <row r="14" spans="2:29" x14ac:dyDescent="0.4">
      <c r="B14" s="5" t="s">
        <v>25</v>
      </c>
      <c r="C14" s="5">
        <v>50</v>
      </c>
      <c r="D14" s="45" t="s">
        <v>126</v>
      </c>
      <c r="E14" s="39">
        <v>21.4</v>
      </c>
      <c r="F14" s="8">
        <v>8500</v>
      </c>
      <c r="G14" s="8">
        <v>1100</v>
      </c>
      <c r="H14" s="8">
        <v>17500</v>
      </c>
      <c r="I14" s="26"/>
      <c r="J14" s="26"/>
      <c r="K14" s="5"/>
      <c r="L14" s="5"/>
      <c r="M14" s="5"/>
      <c r="N14" s="5"/>
      <c r="O14" s="8">
        <f>SUM(O11:O13)</f>
        <v>98100</v>
      </c>
      <c r="P14" s="8">
        <f>SUM(P11:P13)</f>
        <v>2648700</v>
      </c>
      <c r="Q14" s="8"/>
      <c r="R14" s="8"/>
      <c r="S14" s="8"/>
      <c r="T14" s="8"/>
      <c r="U14" s="5"/>
      <c r="V14" s="5"/>
      <c r="W14" s="5"/>
      <c r="X14" s="8">
        <f>SUM(X11:X13)</f>
        <v>29970</v>
      </c>
      <c r="Y14" s="8">
        <f>SUM(Y11:Y13)</f>
        <v>809190</v>
      </c>
      <c r="Z14" s="8">
        <f>SUM(Z11:Z13)</f>
        <v>11330000</v>
      </c>
    </row>
    <row r="15" spans="2:29" x14ac:dyDescent="0.4">
      <c r="B15" s="5" t="s">
        <v>15</v>
      </c>
      <c r="C15" s="5">
        <v>42</v>
      </c>
      <c r="D15" s="45" t="s">
        <v>116</v>
      </c>
      <c r="E15" s="5">
        <v>13.6</v>
      </c>
      <c r="F15" s="8">
        <v>12000</v>
      </c>
      <c r="G15" s="8">
        <v>420</v>
      </c>
      <c r="H15" s="28">
        <v>20200</v>
      </c>
      <c r="T15" s="2"/>
    </row>
    <row r="16" spans="2:29" x14ac:dyDescent="0.4">
      <c r="B16" s="5" t="s">
        <v>26</v>
      </c>
      <c r="C16" s="5">
        <v>80</v>
      </c>
      <c r="D16" s="45" t="s">
        <v>117</v>
      </c>
      <c r="E16" s="5">
        <v>24.9</v>
      </c>
      <c r="F16" s="8">
        <v>12000</v>
      </c>
      <c r="G16" s="8">
        <v>840</v>
      </c>
      <c r="H16" s="8">
        <v>20500</v>
      </c>
      <c r="K16" s="41" t="s">
        <v>51</v>
      </c>
      <c r="P16" s="2">
        <f>P14/12</f>
        <v>220725</v>
      </c>
      <c r="Q16" s="2"/>
      <c r="T16" s="2">
        <f>SUM(T11:T15)</f>
        <v>152500</v>
      </c>
      <c r="U16" s="10">
        <f>P16-Z16</f>
        <v>153292.5</v>
      </c>
      <c r="Z16">
        <f>Y14/12</f>
        <v>67432.5</v>
      </c>
    </row>
    <row r="17" spans="2:20" x14ac:dyDescent="0.4">
      <c r="B17" s="5" t="s">
        <v>16</v>
      </c>
      <c r="C17" s="5">
        <v>35</v>
      </c>
      <c r="D17" s="45" t="s">
        <v>118</v>
      </c>
      <c r="E17" s="5">
        <v>16.7</v>
      </c>
      <c r="F17" s="8">
        <v>12000</v>
      </c>
      <c r="G17" s="8">
        <v>1100</v>
      </c>
      <c r="H17" s="28">
        <v>18200</v>
      </c>
      <c r="T17" s="2"/>
    </row>
    <row r="18" spans="2:20" x14ac:dyDescent="0.4">
      <c r="B18" s="5" t="s">
        <v>27</v>
      </c>
      <c r="C18" s="5">
        <v>70</v>
      </c>
      <c r="D18" s="45" t="s">
        <v>119</v>
      </c>
      <c r="E18" s="5">
        <v>32.5</v>
      </c>
      <c r="F18" s="8">
        <v>12000</v>
      </c>
      <c r="G18" s="8">
        <v>2200</v>
      </c>
      <c r="H18" s="8">
        <v>24000</v>
      </c>
      <c r="L18" s="15" t="s">
        <v>10</v>
      </c>
    </row>
    <row r="19" spans="2:20" x14ac:dyDescent="0.4">
      <c r="B19" s="5" t="s">
        <v>17</v>
      </c>
      <c r="C19" s="5">
        <v>94</v>
      </c>
      <c r="D19" s="45" t="s">
        <v>120</v>
      </c>
      <c r="E19" s="5">
        <v>30.4</v>
      </c>
      <c r="F19" s="8">
        <v>12000</v>
      </c>
      <c r="G19" s="8">
        <v>2200</v>
      </c>
      <c r="H19" s="28">
        <v>32900</v>
      </c>
      <c r="L19" t="s">
        <v>62</v>
      </c>
      <c r="M19" t="s">
        <v>62</v>
      </c>
      <c r="P19" t="s">
        <v>7</v>
      </c>
      <c r="Q19" t="s">
        <v>7</v>
      </c>
      <c r="R19" s="54" t="s">
        <v>2</v>
      </c>
    </row>
    <row r="20" spans="2:20" x14ac:dyDescent="0.4">
      <c r="B20" s="5" t="s">
        <v>28</v>
      </c>
      <c r="C20" s="5">
        <v>187</v>
      </c>
      <c r="D20" s="45" t="s">
        <v>121</v>
      </c>
      <c r="E20" s="5">
        <v>52.6</v>
      </c>
      <c r="F20" s="8">
        <v>12000</v>
      </c>
      <c r="G20" s="8">
        <v>4400</v>
      </c>
      <c r="H20" s="8">
        <v>47900</v>
      </c>
      <c r="L20" t="s">
        <v>5</v>
      </c>
      <c r="M20" t="s">
        <v>6</v>
      </c>
      <c r="P20" t="s">
        <v>74</v>
      </c>
      <c r="Q20" t="s">
        <v>100</v>
      </c>
    </row>
    <row r="21" spans="2:20" x14ac:dyDescent="0.4">
      <c r="B21" s="5" t="s">
        <v>18</v>
      </c>
      <c r="C21" s="5">
        <v>87</v>
      </c>
      <c r="D21" s="45" t="s">
        <v>122</v>
      </c>
      <c r="E21" s="5">
        <v>40</v>
      </c>
      <c r="F21" s="8">
        <v>12000</v>
      </c>
      <c r="G21" s="8">
        <v>1600</v>
      </c>
      <c r="H21" s="28">
        <v>36900</v>
      </c>
      <c r="K21" s="53" t="s">
        <v>4</v>
      </c>
      <c r="L21" s="10">
        <f>データ!P14</f>
        <v>2648700</v>
      </c>
      <c r="M21" s="10">
        <f>データ!Y14</f>
        <v>809190</v>
      </c>
      <c r="O21" s="53" t="s">
        <v>64</v>
      </c>
      <c r="P21" s="2">
        <f>L21/12</f>
        <v>220725</v>
      </c>
      <c r="Q21" s="2">
        <f>M21/12</f>
        <v>67432.5</v>
      </c>
      <c r="R21" s="10">
        <f>P21-Q21</f>
        <v>153292.5</v>
      </c>
    </row>
    <row r="22" spans="2:20" x14ac:dyDescent="0.4">
      <c r="B22" s="5" t="s">
        <v>29</v>
      </c>
      <c r="C22" s="5">
        <v>172</v>
      </c>
      <c r="D22" s="45" t="s">
        <v>123</v>
      </c>
      <c r="E22" s="5">
        <v>70.400000000000006</v>
      </c>
      <c r="F22" s="8">
        <v>12000</v>
      </c>
      <c r="G22" s="8">
        <v>3200</v>
      </c>
      <c r="H22" s="8">
        <v>55400</v>
      </c>
      <c r="K22" s="53" t="s">
        <v>82</v>
      </c>
      <c r="L22" s="10">
        <f>T16</f>
        <v>152500</v>
      </c>
      <c r="M22">
        <v>0</v>
      </c>
      <c r="O22" s="53" t="s">
        <v>101</v>
      </c>
      <c r="P22" s="2">
        <f>L22/12</f>
        <v>12708.333333333334</v>
      </c>
      <c r="Q22">
        <v>0</v>
      </c>
      <c r="R22" s="10">
        <f>P22-Q22</f>
        <v>12708.333333333334</v>
      </c>
    </row>
    <row r="23" spans="2:20" x14ac:dyDescent="0.4">
      <c r="B23" s="5" t="s">
        <v>21</v>
      </c>
      <c r="C23" s="5">
        <v>270</v>
      </c>
      <c r="D23" s="45" t="s">
        <v>86</v>
      </c>
      <c r="E23" s="5">
        <v>62.2</v>
      </c>
      <c r="F23" s="8">
        <v>12000</v>
      </c>
      <c r="G23" s="8">
        <v>2800</v>
      </c>
      <c r="H23" s="28">
        <v>66000</v>
      </c>
      <c r="O23" s="53" t="s">
        <v>63</v>
      </c>
      <c r="Q23" s="10">
        <f>データ!L8</f>
        <v>92300</v>
      </c>
    </row>
    <row r="24" spans="2:20" ht="37.5" x14ac:dyDescent="0.4">
      <c r="B24" s="5" t="s">
        <v>20</v>
      </c>
      <c r="C24" s="5">
        <v>425</v>
      </c>
      <c r="D24" s="45" t="s">
        <v>87</v>
      </c>
      <c r="E24" s="5">
        <v>84.7</v>
      </c>
      <c r="F24" s="8">
        <v>12000</v>
      </c>
      <c r="G24" s="8">
        <v>3600</v>
      </c>
      <c r="H24" s="8">
        <v>89000</v>
      </c>
      <c r="O24" s="89" t="s">
        <v>102</v>
      </c>
      <c r="Q24" s="10">
        <f>SUM(P21+P22+P23)-SUM(Q21+Q22+Q23)</f>
        <v>73700.833333333343</v>
      </c>
      <c r="R24" s="10">
        <f>R21+R22-Q23</f>
        <v>73700.833333333343</v>
      </c>
    </row>
    <row r="25" spans="2:20" x14ac:dyDescent="0.4">
      <c r="B25" s="5" t="s">
        <v>19</v>
      </c>
      <c r="C25" s="5">
        <v>745</v>
      </c>
      <c r="D25" s="45" t="s">
        <v>88</v>
      </c>
      <c r="E25" s="5">
        <v>163.69999999999999</v>
      </c>
      <c r="F25" s="8">
        <v>12000</v>
      </c>
      <c r="G25" s="8">
        <v>6300</v>
      </c>
      <c r="H25" s="28">
        <v>165000</v>
      </c>
      <c r="O25" s="53"/>
    </row>
    <row r="26" spans="2:20" x14ac:dyDescent="0.4">
      <c r="B26" s="5" t="s">
        <v>89</v>
      </c>
      <c r="C26" s="5">
        <v>260</v>
      </c>
      <c r="D26" s="45" t="s">
        <v>87</v>
      </c>
      <c r="E26" s="5">
        <v>84.7</v>
      </c>
      <c r="F26" s="8">
        <v>12000</v>
      </c>
      <c r="G26" s="8">
        <v>7300</v>
      </c>
      <c r="H26" s="8">
        <v>89000</v>
      </c>
    </row>
    <row r="27" spans="2:20" x14ac:dyDescent="0.4">
      <c r="B27" s="5" t="s">
        <v>90</v>
      </c>
      <c r="C27" s="5">
        <v>415</v>
      </c>
      <c r="D27" s="45" t="s">
        <v>91</v>
      </c>
      <c r="E27" s="5">
        <v>112.1</v>
      </c>
      <c r="F27" s="8">
        <v>12000</v>
      </c>
      <c r="G27" s="8">
        <v>13000</v>
      </c>
      <c r="H27" s="28">
        <v>104000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0A629-38D5-425B-9D91-A67A120092B7}">
  <dimension ref="A1:AP52"/>
  <sheetViews>
    <sheetView showGridLines="0" topLeftCell="A25" zoomScale="85" zoomScaleNormal="85" workbookViewId="0">
      <selection activeCell="Q28" sqref="Q28"/>
    </sheetView>
  </sheetViews>
  <sheetFormatPr defaultRowHeight="18.75" x14ac:dyDescent="0.4"/>
  <cols>
    <col min="1" max="2" width="9" style="11"/>
    <col min="3" max="3" width="20.375" style="11" bestFit="1" customWidth="1"/>
    <col min="4" max="4" width="23.25" style="11" customWidth="1"/>
    <col min="5" max="5" width="7.5" style="11" bestFit="1" customWidth="1"/>
    <col min="6" max="6" width="21.75" style="11" customWidth="1"/>
    <col min="7" max="7" width="20.125" style="11" bestFit="1" customWidth="1"/>
    <col min="8" max="8" width="9.375" style="11" customWidth="1"/>
    <col min="9" max="9" width="21.625" style="11" customWidth="1"/>
    <col min="10" max="10" width="11.75" style="11" customWidth="1"/>
    <col min="11" max="11" width="7.875" style="11" customWidth="1"/>
    <col min="12" max="12" width="6.875" style="11" customWidth="1"/>
    <col min="13" max="13" width="19.25" bestFit="1" customWidth="1"/>
    <col min="14" max="14" width="14.375" customWidth="1"/>
    <col min="15" max="15" width="6.75" bestFit="1" customWidth="1"/>
    <col min="18" max="18" width="73" customWidth="1"/>
    <col min="23" max="23" width="19.75" customWidth="1"/>
    <col min="29" max="29" width="6" customWidth="1"/>
    <col min="35" max="35" width="21.75" customWidth="1"/>
    <col min="36" max="36" width="9.25" bestFit="1" customWidth="1"/>
    <col min="39" max="39" width="15.875" customWidth="1"/>
    <col min="40" max="40" width="6.5" customWidth="1"/>
    <col min="41" max="41" width="1.5" customWidth="1"/>
    <col min="42" max="42" width="3.625" customWidth="1"/>
  </cols>
  <sheetData>
    <row r="1" spans="1:18" x14ac:dyDescent="0.4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8" x14ac:dyDescent="0.4">
      <c r="A2" s="52"/>
      <c r="B2" s="52"/>
      <c r="C2" s="52"/>
      <c r="D2" s="52"/>
      <c r="E2" s="52"/>
      <c r="F2" s="52"/>
      <c r="G2" s="52"/>
      <c r="H2" s="52"/>
      <c r="I2" s="52"/>
      <c r="J2" s="55"/>
      <c r="K2" s="52"/>
    </row>
    <row r="3" spans="1:18" x14ac:dyDescent="0.4">
      <c r="A3" s="52"/>
      <c r="B3" s="52"/>
      <c r="C3" s="52"/>
      <c r="D3" s="56" t="s">
        <v>2</v>
      </c>
      <c r="E3" s="52"/>
      <c r="F3" s="52"/>
      <c r="G3" s="52"/>
      <c r="H3" s="52"/>
      <c r="I3" s="52"/>
      <c r="J3" s="52"/>
      <c r="K3" s="52"/>
    </row>
    <row r="4" spans="1:18" ht="41.25" x14ac:dyDescent="0.8">
      <c r="A4" s="52"/>
      <c r="B4" s="52"/>
      <c r="C4" s="52"/>
      <c r="D4" s="57" t="e">
        <f>データ!#REF!</f>
        <v>#REF!</v>
      </c>
      <c r="E4" s="52"/>
      <c r="F4" s="52"/>
      <c r="G4" s="52"/>
      <c r="H4" s="52"/>
      <c r="I4" s="52"/>
      <c r="J4" s="52"/>
      <c r="K4" s="52"/>
      <c r="R4" s="69" t="str">
        <f>入力シート!B3</f>
        <v>〇〇〇〇〇〇〇〇〇〇〇〇株式会社</v>
      </c>
    </row>
    <row r="5" spans="1:18" ht="31.5" customHeight="1" x14ac:dyDescent="0.4">
      <c r="A5" s="52"/>
      <c r="B5" s="52"/>
      <c r="C5" s="52"/>
      <c r="D5" s="62"/>
      <c r="E5" s="52"/>
      <c r="F5" s="52"/>
      <c r="G5" s="52"/>
      <c r="H5" s="52"/>
      <c r="I5" s="52"/>
      <c r="J5" s="52"/>
      <c r="K5" s="52"/>
    </row>
    <row r="6" spans="1:18" ht="51.75" customHeight="1" x14ac:dyDescent="0.4">
      <c r="A6" s="52"/>
      <c r="B6" s="52"/>
      <c r="C6" s="52"/>
      <c r="D6" s="63" t="s">
        <v>7</v>
      </c>
      <c r="E6" s="52"/>
      <c r="F6" s="52"/>
      <c r="G6" s="52"/>
      <c r="H6" s="52"/>
      <c r="I6" s="52"/>
      <c r="J6" s="52"/>
      <c r="K6" s="52"/>
    </row>
    <row r="7" spans="1:18" ht="33" customHeight="1" x14ac:dyDescent="0.4">
      <c r="A7" s="52"/>
      <c r="B7" s="52"/>
      <c r="C7" s="52"/>
      <c r="D7" s="76">
        <f>データ!L8</f>
        <v>92300</v>
      </c>
      <c r="E7" s="52"/>
      <c r="F7" s="52"/>
      <c r="G7" s="52"/>
      <c r="H7" s="52"/>
      <c r="I7" s="52"/>
      <c r="J7" s="58">
        <f>1-(データ!M21/データ!L21)</f>
        <v>0.69449541284403671</v>
      </c>
      <c r="K7" s="59" t="s">
        <v>43</v>
      </c>
    </row>
    <row r="8" spans="1:18" ht="9" customHeight="1" x14ac:dyDescent="0.4">
      <c r="A8" s="52"/>
      <c r="B8" s="52"/>
      <c r="C8" s="52"/>
      <c r="D8" s="59"/>
      <c r="E8" s="52"/>
      <c r="F8" s="52"/>
      <c r="G8" s="52"/>
      <c r="H8" s="52"/>
      <c r="I8" s="52"/>
      <c r="J8" s="52"/>
      <c r="K8" s="52"/>
    </row>
    <row r="9" spans="1:18" x14ac:dyDescent="0.4">
      <c r="A9" s="52"/>
      <c r="B9" s="52"/>
      <c r="C9" s="52"/>
      <c r="D9" s="64" t="s">
        <v>8</v>
      </c>
      <c r="E9" s="52"/>
      <c r="F9" s="52"/>
      <c r="G9" s="52"/>
      <c r="H9" s="52"/>
      <c r="I9" s="52"/>
      <c r="J9" s="52"/>
      <c r="K9" s="52"/>
    </row>
    <row r="10" spans="1:18" ht="28.5" customHeight="1" x14ac:dyDescent="0.25">
      <c r="A10" s="52"/>
      <c r="B10" s="52"/>
      <c r="C10" s="52"/>
      <c r="D10" s="79" t="str">
        <f>入力シート!F7</f>
        <v>リース 9年</v>
      </c>
      <c r="E10" s="52"/>
      <c r="F10" s="52"/>
      <c r="G10" s="52"/>
      <c r="H10" s="52"/>
      <c r="I10" s="52"/>
      <c r="J10" s="52"/>
      <c r="K10" s="52"/>
    </row>
    <row r="11" spans="1:18" x14ac:dyDescent="0.4">
      <c r="A11" s="52"/>
      <c r="B11" s="52"/>
      <c r="C11" s="52"/>
      <c r="D11" s="59"/>
      <c r="E11" s="52"/>
      <c r="F11" s="52"/>
      <c r="G11" s="52"/>
      <c r="H11" s="52"/>
      <c r="I11" s="52"/>
      <c r="J11" s="52"/>
      <c r="K11" s="52"/>
    </row>
    <row r="12" spans="1:18" x14ac:dyDescent="0.4">
      <c r="A12" s="52"/>
      <c r="B12" s="52"/>
      <c r="C12" s="52"/>
      <c r="D12" s="65" t="s">
        <v>52</v>
      </c>
      <c r="E12" s="52"/>
      <c r="F12" s="56" t="s">
        <v>9</v>
      </c>
      <c r="G12" s="52"/>
      <c r="H12" s="52"/>
      <c r="I12" s="52"/>
      <c r="J12" s="52"/>
      <c r="K12" s="52"/>
    </row>
    <row r="13" spans="1:18" ht="35.25" x14ac:dyDescent="0.8">
      <c r="A13" s="52"/>
      <c r="B13" s="52" t="s">
        <v>67</v>
      </c>
      <c r="C13" s="52" t="s">
        <v>4</v>
      </c>
      <c r="D13" s="57">
        <f>データ!P14-データ!Y14</f>
        <v>1839510</v>
      </c>
      <c r="E13" s="52"/>
      <c r="F13" s="60">
        <f>入力シート!C10/入力シート!J19</f>
        <v>3.8589080787818495</v>
      </c>
      <c r="G13" s="52"/>
      <c r="H13" s="52"/>
      <c r="I13" s="52"/>
      <c r="J13" s="52"/>
      <c r="K13" s="52"/>
    </row>
    <row r="14" spans="1:18" ht="35.25" x14ac:dyDescent="0.8">
      <c r="A14" s="52"/>
      <c r="B14" s="52"/>
      <c r="C14" s="52"/>
      <c r="D14" s="57"/>
      <c r="E14" s="52"/>
      <c r="F14" s="60"/>
      <c r="G14" s="52"/>
      <c r="H14" s="52"/>
      <c r="I14" s="52"/>
      <c r="J14" s="52"/>
      <c r="K14" s="52"/>
    </row>
    <row r="15" spans="1:18" ht="35.25" x14ac:dyDescent="0.8">
      <c r="A15" s="52"/>
      <c r="B15" s="52" t="s">
        <v>67</v>
      </c>
      <c r="C15" s="52" t="s">
        <v>58</v>
      </c>
      <c r="D15" s="57">
        <f>データ!T16</f>
        <v>152500</v>
      </c>
      <c r="E15" s="52"/>
      <c r="F15" s="56" t="s">
        <v>85</v>
      </c>
      <c r="G15" s="52"/>
      <c r="H15" s="52"/>
      <c r="I15" s="52"/>
      <c r="J15" s="52"/>
      <c r="K15" s="52"/>
    </row>
    <row r="16" spans="1:18" ht="35.25" x14ac:dyDescent="0.8">
      <c r="A16" s="52"/>
      <c r="B16" s="52"/>
      <c r="C16" s="52"/>
      <c r="D16" s="57"/>
      <c r="E16" s="52"/>
      <c r="F16" s="80">
        <f>D23-D7</f>
        <v>73700.833333333343</v>
      </c>
      <c r="G16" s="52"/>
      <c r="H16" s="52"/>
      <c r="I16" s="52"/>
      <c r="J16" s="52"/>
      <c r="K16" s="52"/>
    </row>
    <row r="17" spans="1:15" ht="35.25" x14ac:dyDescent="0.8">
      <c r="A17" s="52"/>
      <c r="B17" s="52" t="s">
        <v>67</v>
      </c>
      <c r="C17" s="52" t="s">
        <v>69</v>
      </c>
      <c r="D17" s="57">
        <f>SUM(D13:D15)</f>
        <v>1992010</v>
      </c>
      <c r="E17" s="52"/>
      <c r="F17" s="61"/>
      <c r="G17" s="52"/>
      <c r="H17" s="52"/>
      <c r="I17" s="52"/>
      <c r="J17" s="52"/>
      <c r="K17" s="52"/>
    </row>
    <row r="18" spans="1:15" ht="35.25" x14ac:dyDescent="0.8">
      <c r="A18" s="52"/>
      <c r="B18" s="52"/>
      <c r="C18" s="52"/>
      <c r="D18" s="57"/>
      <c r="E18" s="52"/>
      <c r="F18" s="61"/>
      <c r="G18" s="52"/>
      <c r="H18" s="52"/>
      <c r="I18" s="52"/>
      <c r="J18" s="52"/>
      <c r="K18" s="52"/>
    </row>
    <row r="19" spans="1:15" ht="35.25" x14ac:dyDescent="0.8">
      <c r="A19" s="52"/>
      <c r="B19" s="52" t="s">
        <v>68</v>
      </c>
      <c r="C19" s="52" t="s">
        <v>4</v>
      </c>
      <c r="D19" s="57">
        <f>D13/12</f>
        <v>153292.5</v>
      </c>
      <c r="E19" s="52"/>
      <c r="F19" s="52"/>
      <c r="G19" s="52"/>
      <c r="H19" s="52"/>
      <c r="I19" s="52"/>
      <c r="J19" s="52"/>
      <c r="K19" s="52"/>
    </row>
    <row r="20" spans="1:15" ht="35.25" x14ac:dyDescent="0.8">
      <c r="A20" s="52"/>
      <c r="B20" s="52"/>
      <c r="C20" s="52"/>
      <c r="D20" s="57"/>
      <c r="E20" s="52"/>
      <c r="F20" s="52"/>
      <c r="G20" s="52"/>
      <c r="H20" s="73"/>
      <c r="I20" s="73"/>
      <c r="J20" s="73"/>
      <c r="K20" s="73"/>
    </row>
    <row r="21" spans="1:15" ht="19.5" x14ac:dyDescent="0.4">
      <c r="A21" s="52"/>
      <c r="B21" s="52" t="s">
        <v>68</v>
      </c>
      <c r="C21" s="52" t="s">
        <v>58</v>
      </c>
      <c r="D21" s="90">
        <f>データ!R22</f>
        <v>12708.333333333334</v>
      </c>
      <c r="E21" s="52"/>
      <c r="F21" s="52"/>
      <c r="G21" s="52"/>
      <c r="H21" s="73"/>
      <c r="I21" s="74" t="s">
        <v>83</v>
      </c>
      <c r="J21" s="91">
        <f>D15/12</f>
        <v>12708.333333333334</v>
      </c>
      <c r="K21" s="75" t="s">
        <v>84</v>
      </c>
    </row>
    <row r="22" spans="1:15" ht="35.25" x14ac:dyDescent="0.8">
      <c r="A22" s="52"/>
      <c r="B22" s="52"/>
      <c r="C22" s="52"/>
      <c r="D22" s="57"/>
      <c r="E22" s="52"/>
      <c r="F22" s="52"/>
      <c r="G22" s="52"/>
      <c r="H22" s="52"/>
      <c r="I22" s="52"/>
      <c r="J22" s="52"/>
      <c r="K22" s="52"/>
    </row>
    <row r="23" spans="1:15" ht="28.5" x14ac:dyDescent="0.3">
      <c r="A23" s="52"/>
      <c r="B23" s="52" t="s">
        <v>68</v>
      </c>
      <c r="C23" s="52" t="s">
        <v>69</v>
      </c>
      <c r="D23" s="76">
        <f>D19+J21</f>
        <v>166000.83333333334</v>
      </c>
      <c r="E23" s="52"/>
      <c r="F23" s="52"/>
      <c r="G23" s="52"/>
      <c r="H23" s="52"/>
      <c r="I23" s="52"/>
      <c r="J23" s="52"/>
      <c r="K23" s="52"/>
    </row>
    <row r="24" spans="1:15" x14ac:dyDescent="0.4">
      <c r="C24" s="77"/>
      <c r="D24" s="78"/>
      <c r="E24" s="77"/>
    </row>
    <row r="25" spans="1:15" x14ac:dyDescent="0.4">
      <c r="D25" s="66"/>
    </row>
    <row r="26" spans="1:15" x14ac:dyDescent="0.4">
      <c r="D26" s="66"/>
      <c r="E26" s="77"/>
      <c r="F26" s="82" t="s">
        <v>74</v>
      </c>
      <c r="G26" s="82" t="s">
        <v>100</v>
      </c>
      <c r="H26" s="84" t="s">
        <v>35</v>
      </c>
      <c r="J26" s="86" t="s">
        <v>78</v>
      </c>
      <c r="K26" s="86"/>
      <c r="L26" s="86"/>
    </row>
    <row r="27" spans="1:15" ht="25.5" customHeight="1" x14ac:dyDescent="0.4">
      <c r="D27" s="66"/>
      <c r="E27" s="81" t="s">
        <v>75</v>
      </c>
      <c r="F27" s="83" t="str">
        <f>IF(入力シート!I7=0,"",入力シート!I7)</f>
        <v>FLR110W×2灯</v>
      </c>
      <c r="G27" s="83" t="str">
        <f>入力シート!I14</f>
        <v>MY-V910331N 2AHTN</v>
      </c>
      <c r="H27" s="85">
        <f>IF(入力シート!J7=0,"",入力シート!J7)</f>
        <v>100</v>
      </c>
      <c r="J27" s="87">
        <f>入力シート!I10</f>
        <v>3000</v>
      </c>
      <c r="K27" s="88" t="s">
        <v>79</v>
      </c>
      <c r="L27" s="88"/>
    </row>
    <row r="28" spans="1:15" ht="25.5" customHeight="1" x14ac:dyDescent="0.4">
      <c r="D28" s="66"/>
      <c r="E28" s="81" t="s">
        <v>76</v>
      </c>
      <c r="F28" s="83" t="str">
        <f>IF(入力シート!I8=0,"",入力シート!I8)</f>
        <v>FHF32W×2灯</v>
      </c>
      <c r="G28" s="83" t="str">
        <f>入力シート!I15</f>
        <v>MY-V450331N AHTN</v>
      </c>
      <c r="H28" s="85">
        <f>IF(入力シート!J8=0,"",入力シート!J8)</f>
        <v>20</v>
      </c>
      <c r="J28" s="86" t="s">
        <v>80</v>
      </c>
      <c r="K28" s="86"/>
      <c r="L28" s="86"/>
      <c r="N28" s="10" t="str">
        <f>IF(F29=0,"",F29)</f>
        <v>FLR40W×1灯</v>
      </c>
      <c r="O28" s="68">
        <f t="shared" ref="O28" si="0">IF(H29=0,"",H29)</f>
        <v>300</v>
      </c>
    </row>
    <row r="29" spans="1:15" ht="25.5" customHeight="1" x14ac:dyDescent="0.4">
      <c r="E29" s="81" t="s">
        <v>77</v>
      </c>
      <c r="F29" s="83" t="str">
        <f>IF(入力シート!I9=0,"",入力シート!I9)</f>
        <v>FLR40W×1灯</v>
      </c>
      <c r="G29" s="83" t="str">
        <f>入力シート!I16</f>
        <v>MY-V420331N AHTN</v>
      </c>
      <c r="H29" s="85">
        <f>IF(入力シート!J9=0,"",入力シート!J9)</f>
        <v>300</v>
      </c>
      <c r="J29" s="87">
        <f>入力シート!I11</f>
        <v>27</v>
      </c>
      <c r="K29" s="88" t="s">
        <v>81</v>
      </c>
      <c r="L29" s="88"/>
    </row>
    <row r="32" spans="1:15" x14ac:dyDescent="0.4">
      <c r="F32" s="67"/>
    </row>
    <row r="38" spans="26:36" ht="13.5" customHeight="1" x14ac:dyDescent="0.4">
      <c r="Z38" s="86" t="s">
        <v>78</v>
      </c>
      <c r="AA38" s="86"/>
      <c r="AB38" s="86"/>
      <c r="AD38" s="86" t="s">
        <v>80</v>
      </c>
      <c r="AE38" s="86"/>
      <c r="AF38" s="86"/>
    </row>
    <row r="39" spans="26:36" x14ac:dyDescent="0.4">
      <c r="Z39" s="87">
        <f>入力シート!I10</f>
        <v>3000</v>
      </c>
      <c r="AA39" s="88" t="s">
        <v>79</v>
      </c>
      <c r="AB39" s="88"/>
      <c r="AD39" s="87">
        <f>入力シート!I11</f>
        <v>27</v>
      </c>
      <c r="AE39" s="88" t="s">
        <v>81</v>
      </c>
      <c r="AF39" s="88"/>
    </row>
    <row r="40" spans="26:36" ht="13.5" customHeight="1" x14ac:dyDescent="0.4">
      <c r="Z40" s="72"/>
      <c r="AA40" s="72"/>
      <c r="AB40" s="72"/>
    </row>
    <row r="41" spans="26:36" x14ac:dyDescent="0.4">
      <c r="Z41" s="87"/>
      <c r="AA41" s="88"/>
      <c r="AB41" s="88"/>
      <c r="AH41" s="70" t="str">
        <f>IF(Q42=0,"",Q42)</f>
        <v/>
      </c>
      <c r="AI41" s="71" t="str">
        <f>IF(S42=0,"",S42)</f>
        <v/>
      </c>
    </row>
    <row r="42" spans="26:36" x14ac:dyDescent="0.4">
      <c r="AH42" s="70" t="str">
        <f>IF(Q41=0,"",Q41)</f>
        <v/>
      </c>
      <c r="AI42" s="71" t="str">
        <f>IF(S41=0,"",S41)</f>
        <v/>
      </c>
    </row>
    <row r="43" spans="26:36" ht="19.5" x14ac:dyDescent="0.4">
      <c r="AH43" s="70" t="str">
        <f>IF(Q40=0,"",Q40)</f>
        <v/>
      </c>
      <c r="AI43" s="92" t="str">
        <f>IF(F29=0,"",F29)</f>
        <v>FLR40W×1灯</v>
      </c>
      <c r="AJ43" s="93">
        <f>IF(H29=0,"",H29)</f>
        <v>300</v>
      </c>
    </row>
    <row r="44" spans="26:36" ht="19.5" x14ac:dyDescent="0.4">
      <c r="AI44" s="92" t="str">
        <f>IF(F28=0,"",F28)</f>
        <v>FHF32W×2灯</v>
      </c>
      <c r="AJ44" s="93">
        <f>IF(H28=0,"",H28)</f>
        <v>20</v>
      </c>
    </row>
    <row r="45" spans="26:36" ht="19.5" x14ac:dyDescent="0.4">
      <c r="AI45" s="92" t="str">
        <f>IF(F27=0,"",F27)</f>
        <v>FLR110W×2灯</v>
      </c>
      <c r="AJ45" s="93">
        <f>IF(H27=0,"",H27)</f>
        <v>100</v>
      </c>
    </row>
    <row r="52" spans="40:42" x14ac:dyDescent="0.4">
      <c r="AN52" s="94">
        <f>入力シート!E3</f>
        <v>2021</v>
      </c>
      <c r="AO52" s="95" t="s">
        <v>105</v>
      </c>
      <c r="AP52" s="96">
        <f>入力シート!G3</f>
        <v>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入力シート</vt:lpstr>
      <vt:lpstr>印刷用_片面チラシ向け</vt:lpstr>
      <vt:lpstr>印刷用_両面チラシ向け</vt:lpstr>
      <vt:lpstr>印刷用_両面チラシ向け裏面</vt:lpstr>
      <vt:lpstr>データ</vt:lpstr>
      <vt:lpstr>表示調整</vt:lpstr>
      <vt:lpstr>印刷用_片面チラシ向け!Print_Area</vt:lpstr>
      <vt:lpstr>印刷用_両面チラシ向け!Print_Area</vt:lpstr>
      <vt:lpstr>印刷用_両面チラシ向け裏面!Print_Area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Kitajima Taku</dc:creator>
  <cp:lastModifiedBy>Saito Azusa</cp:lastModifiedBy>
  <cp:lastPrinted>2021-01-06T02:55:09Z</cp:lastPrinted>
  <dcterms:created xsi:type="dcterms:W3CDTF">2020-09-24T11:16:28Z</dcterms:created>
  <dcterms:modified xsi:type="dcterms:W3CDTF">2021-01-06T02:55:24Z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